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drawings/drawing9.xml" ContentType="application/vnd.openxmlformats-officedocument.drawingml.chartshapes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harts/chart4.xml" ContentType="application/vnd.openxmlformats-officedocument.drawingml.char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jpeg" ContentType="image/jpeg"/>
  <Override PartName="/xl/charts/chart2.xml" ContentType="application/vnd.openxmlformats-officedocument.drawingml.chart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harts/chart3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495" yWindow="135" windowWidth="13530" windowHeight="10425" activeTab="5"/>
  </bookViews>
  <sheets>
    <sheet name="Cálculo dos Links" sheetId="1" r:id="rId1"/>
    <sheet name="dB" sheetId="2" r:id="rId2"/>
    <sheet name="RISCOS" sheetId="5" r:id="rId3"/>
    <sheet name="Field Calculation II" sheetId="4" state="hidden" r:id="rId4"/>
    <sheet name="TOE" sheetId="6" r:id="rId5"/>
    <sheet name="Margem do Link Direto" sheetId="8" r:id="rId6"/>
    <sheet name="Beacon" sheetId="10" r:id="rId7"/>
  </sheets>
  <externalReferences>
    <externalReference r:id="rId8"/>
    <externalReference r:id="rId9"/>
  </externalReferences>
  <calcPr calcId="124519"/>
</workbook>
</file>

<file path=xl/calcChain.xml><?xml version="1.0" encoding="utf-8"?>
<calcChain xmlns="http://schemas.openxmlformats.org/spreadsheetml/2006/main">
  <c r="B3" i="10"/>
  <c r="B6"/>
  <c r="B10"/>
  <c r="B14" s="1"/>
  <c r="B13"/>
  <c r="B21"/>
  <c r="H21"/>
  <c r="B22"/>
  <c r="H22" s="1"/>
  <c r="B23"/>
  <c r="H23"/>
  <c r="B24"/>
  <c r="H24" s="1"/>
  <c r="B25"/>
  <c r="H25"/>
  <c r="B26"/>
  <c r="H26" s="1"/>
  <c r="B27"/>
  <c r="H27"/>
  <c r="B28"/>
  <c r="H28" s="1"/>
  <c r="B29"/>
  <c r="H29"/>
  <c r="B30"/>
  <c r="H30" s="1"/>
  <c r="B31"/>
  <c r="H31"/>
  <c r="B7" l="1"/>
  <c r="A34" s="1"/>
  <c r="B11" l="1"/>
  <c r="A16"/>
  <c r="B34"/>
  <c r="G6" i="8" l="1"/>
  <c r="G11" s="1"/>
  <c r="E6" i="6"/>
  <c r="E5" s="1"/>
  <c r="B4" i="1"/>
  <c r="B20"/>
  <c r="B13"/>
  <c r="J1" i="5"/>
  <c r="K6" s="1"/>
  <c r="J2"/>
  <c r="C9"/>
  <c r="F9" s="1"/>
  <c r="G9" s="1"/>
  <c r="H9" s="1"/>
  <c r="G15" i="8" l="1"/>
  <c r="G16"/>
  <c r="G10"/>
  <c r="G12"/>
  <c r="G14"/>
  <c r="G17"/>
  <c r="G13"/>
  <c r="G9"/>
  <c r="J5" i="5"/>
  <c r="J6" s="1"/>
  <c r="J7" s="1"/>
  <c r="K5"/>
  <c r="K7" s="1"/>
  <c r="Q9" s="1"/>
  <c r="L5"/>
  <c r="L6" s="1"/>
  <c r="L7" s="1"/>
  <c r="R9" s="1"/>
  <c r="G10"/>
  <c r="F11"/>
  <c r="G11" s="1"/>
  <c r="H11" s="1"/>
  <c r="F10"/>
  <c r="O61" i="1"/>
  <c r="R57"/>
  <c r="R58" s="1"/>
  <c r="C4" i="4"/>
  <c r="C7" s="1"/>
  <c r="P10" i="5" l="1"/>
  <c r="E16" i="4"/>
  <c r="R11" i="5"/>
  <c r="Q11"/>
  <c r="P11"/>
  <c r="P9"/>
  <c r="Q10"/>
  <c r="H10"/>
  <c r="R10" s="1"/>
  <c r="D16" i="4"/>
  <c r="E15"/>
  <c r="C6"/>
  <c r="C2"/>
  <c r="C8" s="1"/>
  <c r="D15" s="1"/>
  <c r="F24" l="1"/>
  <c r="D22"/>
  <c r="D14"/>
  <c r="C15"/>
  <c r="E14"/>
  <c r="C21" s="1"/>
  <c r="E23"/>
  <c r="C16"/>
  <c r="O60" i="1"/>
  <c r="B9"/>
  <c r="B27"/>
  <c r="B2"/>
  <c r="B8" s="1"/>
  <c r="B16"/>
  <c r="D19" i="2"/>
  <c r="D15"/>
  <c r="D11"/>
  <c r="D7"/>
  <c r="R61" i="1" l="1"/>
  <c r="R60"/>
  <c r="Q61"/>
  <c r="Q60"/>
  <c r="D65"/>
  <c r="N60"/>
  <c r="B33"/>
  <c r="B17"/>
  <c r="B29"/>
  <c r="B26"/>
  <c r="B43"/>
  <c r="B34" l="1"/>
  <c r="E65"/>
  <c r="E60"/>
  <c r="G60" s="1"/>
  <c r="B14"/>
  <c r="B15" s="1"/>
  <c r="J61" l="1"/>
  <c r="I61" s="1"/>
  <c r="J62"/>
  <c r="I62" s="1"/>
  <c r="J63"/>
  <c r="I63" s="1"/>
  <c r="J64"/>
  <c r="I64" s="1"/>
  <c r="J65"/>
  <c r="I65" s="1"/>
  <c r="J66"/>
  <c r="I66" s="1"/>
  <c r="J67"/>
  <c r="I67" s="1"/>
  <c r="J68"/>
  <c r="I68" s="1"/>
  <c r="J69"/>
  <c r="I69" s="1"/>
  <c r="J70"/>
  <c r="I70" s="1"/>
  <c r="J71"/>
  <c r="I71" s="1"/>
  <c r="J72"/>
  <c r="I72" s="1"/>
  <c r="J73"/>
  <c r="I73" s="1"/>
  <c r="J74"/>
  <c r="I74" s="1"/>
  <c r="J75"/>
  <c r="I75" s="1"/>
  <c r="J76"/>
  <c r="I76" s="1"/>
  <c r="J77"/>
  <c r="I77" s="1"/>
  <c r="J78"/>
  <c r="I78" s="1"/>
  <c r="J79"/>
  <c r="I79" s="1"/>
  <c r="J80"/>
  <c r="I80" s="1"/>
  <c r="J81"/>
  <c r="I81" s="1"/>
  <c r="J82"/>
  <c r="I82" s="1"/>
  <c r="J83"/>
  <c r="I83" s="1"/>
  <c r="J84"/>
  <c r="I84" s="1"/>
  <c r="J85"/>
  <c r="I85" s="1"/>
  <c r="J86"/>
  <c r="I86" s="1"/>
  <c r="J87"/>
  <c r="I87" s="1"/>
  <c r="J88"/>
  <c r="I88" s="1"/>
  <c r="J89"/>
  <c r="I89" s="1"/>
  <c r="J90"/>
  <c r="I90" s="1"/>
  <c r="J91"/>
  <c r="I91" s="1"/>
  <c r="J92"/>
  <c r="I92" s="1"/>
  <c r="J93"/>
  <c r="I93" s="1"/>
  <c r="J94"/>
  <c r="I94" s="1"/>
  <c r="J95"/>
  <c r="I95" s="1"/>
  <c r="J96"/>
  <c r="I96" s="1"/>
  <c r="J97"/>
  <c r="I97" s="1"/>
  <c r="J98"/>
  <c r="I98" s="1"/>
  <c r="J99"/>
  <c r="I99" s="1"/>
  <c r="J100"/>
  <c r="I100" s="1"/>
  <c r="J101"/>
  <c r="I101" s="1"/>
  <c r="J102"/>
  <c r="I102" s="1"/>
  <c r="J103"/>
  <c r="I103" s="1"/>
  <c r="J104"/>
  <c r="I104" s="1"/>
  <c r="J105"/>
  <c r="I105" s="1"/>
  <c r="J106"/>
  <c r="I106" s="1"/>
  <c r="J107"/>
  <c r="I107" s="1"/>
  <c r="J108"/>
  <c r="I108" s="1"/>
  <c r="J109"/>
  <c r="I109" s="1"/>
  <c r="J110"/>
  <c r="I110" s="1"/>
  <c r="J111"/>
  <c r="I111" s="1"/>
  <c r="J112"/>
  <c r="I112" s="1"/>
  <c r="J113"/>
  <c r="I113" s="1"/>
  <c r="J114"/>
  <c r="I114" s="1"/>
  <c r="J115"/>
  <c r="I115" s="1"/>
  <c r="J116"/>
  <c r="I116" s="1"/>
  <c r="J117"/>
  <c r="I117" s="1"/>
  <c r="J118"/>
  <c r="I118" s="1"/>
  <c r="J119"/>
  <c r="I119" s="1"/>
  <c r="J120"/>
  <c r="I120" s="1"/>
  <c r="J121"/>
  <c r="I121" s="1"/>
  <c r="J122"/>
  <c r="I122" s="1"/>
  <c r="J123"/>
  <c r="I123" s="1"/>
  <c r="J124"/>
  <c r="I124" s="1"/>
  <c r="J125"/>
  <c r="I125" s="1"/>
  <c r="J126"/>
  <c r="I126" s="1"/>
  <c r="J127"/>
  <c r="I127" s="1"/>
  <c r="J128"/>
  <c r="I128" s="1"/>
  <c r="J129"/>
  <c r="I129" s="1"/>
  <c r="J130"/>
  <c r="I130" s="1"/>
  <c r="J131"/>
  <c r="I131" s="1"/>
  <c r="J132"/>
  <c r="I132" s="1"/>
  <c r="J133"/>
  <c r="I133" s="1"/>
  <c r="J134"/>
  <c r="I134" s="1"/>
  <c r="J135"/>
  <c r="I135" s="1"/>
  <c r="J136"/>
  <c r="I136" s="1"/>
  <c r="J137"/>
  <c r="I137" s="1"/>
  <c r="J138"/>
  <c r="I138" s="1"/>
  <c r="J139"/>
  <c r="I139" s="1"/>
  <c r="J140"/>
  <c r="I140" s="1"/>
  <c r="J141"/>
  <c r="I141" s="1"/>
  <c r="J142"/>
  <c r="I142" s="1"/>
  <c r="J143"/>
  <c r="I143" s="1"/>
  <c r="J144"/>
  <c r="I144" s="1"/>
  <c r="J145"/>
  <c r="I145" s="1"/>
  <c r="J146"/>
  <c r="I146" s="1"/>
  <c r="J147"/>
  <c r="I147" s="1"/>
  <c r="J148"/>
  <c r="I148" s="1"/>
  <c r="J149"/>
  <c r="I149" s="1"/>
  <c r="J150"/>
  <c r="I150" s="1"/>
  <c r="J151"/>
  <c r="I151" s="1"/>
  <c r="J152"/>
  <c r="I152" s="1"/>
  <c r="J153"/>
  <c r="I153" s="1"/>
  <c r="J154"/>
  <c r="I154" s="1"/>
  <c r="J155"/>
  <c r="I155" s="1"/>
  <c r="J156"/>
  <c r="I156" s="1"/>
  <c r="J157"/>
  <c r="I157" s="1"/>
  <c r="J158"/>
  <c r="I158" s="1"/>
  <c r="J159"/>
  <c r="I159" s="1"/>
  <c r="J160"/>
  <c r="I160" s="1"/>
  <c r="J60"/>
  <c r="I60" s="1"/>
  <c r="D160"/>
  <c r="E160" s="1"/>
  <c r="D159"/>
  <c r="E159" s="1"/>
  <c r="D158"/>
  <c r="E158" s="1"/>
  <c r="D157"/>
  <c r="E157" s="1"/>
  <c r="D156"/>
  <c r="E156" s="1"/>
  <c r="D155"/>
  <c r="E155" s="1"/>
  <c r="D154"/>
  <c r="E154" s="1"/>
  <c r="D153"/>
  <c r="E153" s="1"/>
  <c r="D152"/>
  <c r="E152" s="1"/>
  <c r="D151"/>
  <c r="E151" s="1"/>
  <c r="D150"/>
  <c r="E150" s="1"/>
  <c r="D149"/>
  <c r="E149" s="1"/>
  <c r="D148"/>
  <c r="E148" s="1"/>
  <c r="D147"/>
  <c r="E147" s="1"/>
  <c r="D146"/>
  <c r="E146" s="1"/>
  <c r="D145"/>
  <c r="E145" s="1"/>
  <c r="D144"/>
  <c r="E144" s="1"/>
  <c r="D143"/>
  <c r="E143" s="1"/>
  <c r="D142"/>
  <c r="E142" s="1"/>
  <c r="D141"/>
  <c r="E141" s="1"/>
  <c r="D140"/>
  <c r="E140" s="1"/>
  <c r="D139"/>
  <c r="E139" s="1"/>
  <c r="D138"/>
  <c r="E138" s="1"/>
  <c r="D137"/>
  <c r="E137" s="1"/>
  <c r="D136"/>
  <c r="E136" s="1"/>
  <c r="D135"/>
  <c r="E135" s="1"/>
  <c r="D134"/>
  <c r="E134" s="1"/>
  <c r="D133"/>
  <c r="E133" s="1"/>
  <c r="D132"/>
  <c r="E132" s="1"/>
  <c r="D131"/>
  <c r="E131" s="1"/>
  <c r="D130"/>
  <c r="E130" s="1"/>
  <c r="D129"/>
  <c r="E129" s="1"/>
  <c r="D128"/>
  <c r="E128" s="1"/>
  <c r="D127"/>
  <c r="E127" s="1"/>
  <c r="D126"/>
  <c r="E126" s="1"/>
  <c r="D125"/>
  <c r="E125" s="1"/>
  <c r="D124"/>
  <c r="E124" s="1"/>
  <c r="D123"/>
  <c r="E123" s="1"/>
  <c r="D122"/>
  <c r="E122" s="1"/>
  <c r="D121"/>
  <c r="E121" s="1"/>
  <c r="D120"/>
  <c r="E120" s="1"/>
  <c r="D119"/>
  <c r="E119" s="1"/>
  <c r="D118"/>
  <c r="E118" s="1"/>
  <c r="D117"/>
  <c r="E117" s="1"/>
  <c r="D116"/>
  <c r="E116" s="1"/>
  <c r="D115"/>
  <c r="E115" s="1"/>
  <c r="D114"/>
  <c r="E114" s="1"/>
  <c r="D113"/>
  <c r="E113" s="1"/>
  <c r="D112"/>
  <c r="E112" s="1"/>
  <c r="D111"/>
  <c r="E111" s="1"/>
  <c r="D110"/>
  <c r="E110" s="1"/>
  <c r="D109"/>
  <c r="E109" s="1"/>
  <c r="D108"/>
  <c r="E108" s="1"/>
  <c r="D107"/>
  <c r="E107" s="1"/>
  <c r="D106"/>
  <c r="E106" s="1"/>
  <c r="D105"/>
  <c r="E105" s="1"/>
  <c r="D104"/>
  <c r="E104" s="1"/>
  <c r="D103"/>
  <c r="E103" s="1"/>
  <c r="D102"/>
  <c r="E102" s="1"/>
  <c r="D101"/>
  <c r="E101" s="1"/>
  <c r="D100"/>
  <c r="E100" s="1"/>
  <c r="D99"/>
  <c r="E99" s="1"/>
  <c r="D98"/>
  <c r="E98" s="1"/>
  <c r="D97"/>
  <c r="E97" s="1"/>
  <c r="D96"/>
  <c r="E96" s="1"/>
  <c r="D95"/>
  <c r="E95" s="1"/>
  <c r="D94"/>
  <c r="E94" s="1"/>
  <c r="D93"/>
  <c r="E93" s="1"/>
  <c r="D92"/>
  <c r="E92" s="1"/>
  <c r="D91"/>
  <c r="E91" s="1"/>
  <c r="D90"/>
  <c r="E90" s="1"/>
  <c r="D89"/>
  <c r="E89" s="1"/>
  <c r="D88"/>
  <c r="E88" s="1"/>
  <c r="D87"/>
  <c r="E87" s="1"/>
  <c r="D86"/>
  <c r="E86" s="1"/>
  <c r="D85"/>
  <c r="E85" s="1"/>
  <c r="D84"/>
  <c r="E84" s="1"/>
  <c r="D83"/>
  <c r="E83" s="1"/>
  <c r="D82"/>
  <c r="E82" s="1"/>
  <c r="D81"/>
  <c r="E81" s="1"/>
  <c r="D80"/>
  <c r="E80" s="1"/>
  <c r="D79"/>
  <c r="E79" s="1"/>
  <c r="D78"/>
  <c r="E78" s="1"/>
  <c r="D77"/>
  <c r="E77" s="1"/>
  <c r="D76"/>
  <c r="E76" s="1"/>
  <c r="D75"/>
  <c r="E75" s="1"/>
  <c r="D74"/>
  <c r="E74" s="1"/>
  <c r="D73"/>
  <c r="E73" s="1"/>
  <c r="D72"/>
  <c r="E72" s="1"/>
  <c r="D71"/>
  <c r="E71" s="1"/>
  <c r="D70"/>
  <c r="E70" s="1"/>
  <c r="D69"/>
  <c r="E69" s="1"/>
  <c r="D68"/>
  <c r="E68" s="1"/>
  <c r="D67"/>
  <c r="E67" s="1"/>
  <c r="D66"/>
  <c r="E66" s="1"/>
  <c r="D64"/>
  <c r="E64" s="1"/>
  <c r="D63"/>
  <c r="E63" s="1"/>
  <c r="D62"/>
  <c r="E62" s="1"/>
  <c r="D61"/>
  <c r="E61" s="1"/>
  <c r="D60"/>
  <c r="B53" l="1"/>
  <c r="B52"/>
  <c r="B51"/>
  <c r="B50"/>
  <c r="B49"/>
  <c r="B48"/>
  <c r="B47"/>
  <c r="B46"/>
  <c r="B45"/>
  <c r="B44"/>
  <c r="H52" l="1"/>
  <c r="H44"/>
  <c r="H47"/>
  <c r="H51"/>
  <c r="H50"/>
  <c r="H48"/>
  <c r="H43"/>
  <c r="H46"/>
  <c r="H45"/>
  <c r="H49"/>
  <c r="B23" l="1"/>
  <c r="B24" s="1"/>
  <c r="B11" l="1"/>
  <c r="B12" s="1"/>
  <c r="A56" l="1"/>
  <c r="B21"/>
  <c r="B35" s="1"/>
  <c r="A37"/>
  <c r="B18"/>
  <c r="B19" s="1"/>
  <c r="B56"/>
  <c r="B30"/>
  <c r="B25" l="1"/>
  <c r="B28" s="1"/>
  <c r="K81"/>
  <c r="K113"/>
  <c r="K145"/>
  <c r="K158"/>
  <c r="K142"/>
  <c r="K130"/>
  <c r="K118"/>
  <c r="K106"/>
  <c r="K93"/>
  <c r="K78"/>
  <c r="K66"/>
  <c r="K89"/>
  <c r="K153"/>
  <c r="K67"/>
  <c r="K75"/>
  <c r="K83"/>
  <c r="K91"/>
  <c r="K99"/>
  <c r="K107"/>
  <c r="K115"/>
  <c r="K123"/>
  <c r="K131"/>
  <c r="K139"/>
  <c r="K147"/>
  <c r="K155"/>
  <c r="K69"/>
  <c r="K101"/>
  <c r="K133"/>
  <c r="K61"/>
  <c r="K146"/>
  <c r="K134"/>
  <c r="K122"/>
  <c r="K109"/>
  <c r="K94"/>
  <c r="K82"/>
  <c r="K70"/>
  <c r="K73"/>
  <c r="K137"/>
  <c r="K64"/>
  <c r="K72"/>
  <c r="K80"/>
  <c r="K88"/>
  <c r="K96"/>
  <c r="K104"/>
  <c r="K112"/>
  <c r="K120"/>
  <c r="K128"/>
  <c r="K136"/>
  <c r="K144"/>
  <c r="K152"/>
  <c r="K160"/>
  <c r="K117"/>
  <c r="K154"/>
  <c r="K126"/>
  <c r="K102"/>
  <c r="K77"/>
  <c r="K105"/>
  <c r="K68"/>
  <c r="K84"/>
  <c r="K100"/>
  <c r="K116"/>
  <c r="K132"/>
  <c r="K148"/>
  <c r="K65"/>
  <c r="K97"/>
  <c r="K129"/>
  <c r="K157"/>
  <c r="K150"/>
  <c r="K138"/>
  <c r="K125"/>
  <c r="K110"/>
  <c r="K98"/>
  <c r="K86"/>
  <c r="K74"/>
  <c r="K121"/>
  <c r="K63"/>
  <c r="K71"/>
  <c r="K79"/>
  <c r="K87"/>
  <c r="K95"/>
  <c r="K103"/>
  <c r="K111"/>
  <c r="K119"/>
  <c r="K127"/>
  <c r="K135"/>
  <c r="K143"/>
  <c r="K151"/>
  <c r="K159"/>
  <c r="K85"/>
  <c r="K149"/>
  <c r="K141"/>
  <c r="K114"/>
  <c r="K90"/>
  <c r="K62"/>
  <c r="K60"/>
  <c r="K76"/>
  <c r="K92"/>
  <c r="K108"/>
  <c r="K124"/>
  <c r="K140"/>
  <c r="K156"/>
  <c r="H53"/>
  <c r="A55" l="1"/>
  <c r="A38"/>
  <c r="B22"/>
  <c r="B55" l="1"/>
  <c r="B31"/>
</calcChain>
</file>

<file path=xl/comments1.xml><?xml version="1.0" encoding="utf-8"?>
<comments xmlns="http://schemas.openxmlformats.org/spreadsheetml/2006/main">
  <authors>
    <author>Lenovo Carbon X1</author>
    <author>Michel</author>
  </authors>
  <commentList>
    <comment ref="A1" authorId="0">
      <text>
        <r>
          <rPr>
            <b/>
            <sz val="9"/>
            <color indexed="81"/>
            <rFont val="Segoe UI"/>
            <family val="2"/>
          </rPr>
          <t>Lenovo Carbon X1:</t>
        </r>
        <r>
          <rPr>
            <sz val="9"/>
            <color indexed="81"/>
            <rFont val="Segoe UI"/>
            <family val="2"/>
          </rPr>
          <t xml:space="preserve">
Esta á a máxima potência irradiada permitida pela Anatel / FCC</t>
        </r>
      </text>
    </comment>
    <comment ref="A2" authorId="0">
      <text>
        <r>
          <rPr>
            <b/>
            <sz val="9"/>
            <color indexed="81"/>
            <rFont val="Segoe UI"/>
            <family val="2"/>
          </rPr>
          <t>Lenovo Carbon X1:</t>
        </r>
        <r>
          <rPr>
            <sz val="9"/>
            <color indexed="81"/>
            <rFont val="Segoe UI"/>
            <family val="2"/>
          </rPr>
          <t xml:space="preserve">
Deve ser ajustada na barra de rolagem à direita mas deve ser controlada para não exceder 36 dBm irradiado.</t>
        </r>
      </text>
    </comment>
    <comment ref="A3" authorId="0">
      <text>
        <r>
          <rPr>
            <b/>
            <sz val="9"/>
            <color indexed="81"/>
            <rFont val="Segoe UI"/>
            <family val="2"/>
          </rPr>
          <t>Lenovo Carbon X1:</t>
        </r>
        <r>
          <rPr>
            <sz val="9"/>
            <color indexed="81"/>
            <rFont val="Segoe UI"/>
            <family val="2"/>
          </rPr>
          <t xml:space="preserve">
Você deve calcular pela informação de perdas por metro no datasheet do fabricante do cabo.</t>
        </r>
      </text>
    </comment>
    <comment ref="A5" authorId="0">
      <text>
        <r>
          <rPr>
            <b/>
            <sz val="9"/>
            <color indexed="81"/>
            <rFont val="Segoe UI"/>
            <family val="2"/>
          </rPr>
          <t>Lenovo Carbon X1:</t>
        </r>
        <r>
          <rPr>
            <sz val="9"/>
            <color indexed="81"/>
            <rFont val="Segoe UI"/>
            <family val="2"/>
          </rPr>
          <t xml:space="preserve">
O ganho da Antena transforma a potência do reader em uma potência maior irradiada.</t>
        </r>
      </text>
    </comment>
    <comment ref="A8" authorId="0">
      <text>
        <r>
          <rPr>
            <b/>
            <sz val="9"/>
            <color indexed="81"/>
            <rFont val="Segoe UI"/>
            <family val="2"/>
          </rPr>
          <t>Lenovo Carbon X1:</t>
        </r>
        <r>
          <rPr>
            <sz val="9"/>
            <color indexed="81"/>
            <rFont val="Segoe UI"/>
            <family val="2"/>
          </rPr>
          <t xml:space="preserve">
Aqui é calculada a potência irradiada que não deve ser superior a 36 dBm.</t>
        </r>
      </text>
    </comment>
    <comment ref="A9" authorId="0">
      <text>
        <r>
          <rPr>
            <b/>
            <sz val="9"/>
            <color indexed="81"/>
            <rFont val="Segoe UI"/>
            <family val="2"/>
          </rPr>
          <t>Lenovo Carbon X1:</t>
        </r>
        <r>
          <rPr>
            <sz val="9"/>
            <color indexed="81"/>
            <rFont val="Segoe UI"/>
            <family val="2"/>
          </rPr>
          <t xml:space="preserve">
Distância da antena ao tag. Use a barra de rolagem</t>
        </r>
      </text>
    </comment>
    <comment ref="A10" authorId="0">
      <text>
        <r>
          <rPr>
            <b/>
            <sz val="9"/>
            <color indexed="81"/>
            <rFont val="Segoe UI"/>
            <family val="2"/>
          </rPr>
          <t>Lenovo Carbon X1:</t>
        </r>
        <r>
          <rPr>
            <sz val="9"/>
            <color indexed="81"/>
            <rFont val="Segoe UI"/>
            <family val="2"/>
          </rPr>
          <t xml:space="preserve">
A frequencia de operação pode variar em toda a faixa, entretanto, recomendo que use a frequencia central ou aquela que for usada no reader. Ela deve ser preferivelmente aquela onde o tag tem a melhor sensibilidade. Isso pode ser determinado com o FastChecker FC-01.
</t>
        </r>
      </text>
    </comment>
    <comment ref="A11" authorId="0">
      <text>
        <r>
          <rPr>
            <b/>
            <sz val="9"/>
            <color indexed="81"/>
            <rFont val="Segoe UI"/>
            <family val="2"/>
          </rPr>
          <t>Lenovo Carbon X1:</t>
        </r>
        <r>
          <rPr>
            <sz val="9"/>
            <color indexed="81"/>
            <rFont val="Segoe UI"/>
            <family val="2"/>
          </rPr>
          <t xml:space="preserve">
Aqui é calculada as perdas no espaço livre.
</t>
        </r>
      </text>
    </comment>
    <comment ref="A12" authorId="0">
      <text>
        <r>
          <rPr>
            <b/>
            <sz val="9"/>
            <color indexed="81"/>
            <rFont val="Segoe UI"/>
            <family val="2"/>
          </rPr>
          <t>Lenovo Carbon X1:</t>
        </r>
        <r>
          <rPr>
            <sz val="9"/>
            <color indexed="81"/>
            <rFont val="Segoe UI"/>
            <family val="2"/>
          </rPr>
          <t xml:space="preserve">
Esta é a potência que chega ao tag e se for igual ou superior à sua  sensibilidade o tag responderá.
</t>
        </r>
      </text>
    </comment>
    <comment ref="A13" authorId="0">
      <text>
        <r>
          <rPr>
            <b/>
            <sz val="9"/>
            <color indexed="81"/>
            <rFont val="Segoe UI"/>
            <family val="2"/>
          </rPr>
          <t>Lenovo Carbon X1:</t>
        </r>
        <r>
          <rPr>
            <sz val="9"/>
            <color indexed="81"/>
            <rFont val="Segoe UI"/>
            <family val="2"/>
          </rPr>
          <t xml:space="preserve">
O ganho da antena do tag normalmente é um dado desconhecido mas pode ser estimado se soubermos a sensibilidade do chip e a sensibilidade do Tag.</t>
        </r>
      </text>
    </comment>
    <comment ref="A14" authorId="0">
      <text>
        <r>
          <rPr>
            <b/>
            <sz val="9"/>
            <color indexed="81"/>
            <rFont val="Segoe UI"/>
            <family val="2"/>
          </rPr>
          <t>Lenovo Carbon X1:</t>
        </r>
        <r>
          <rPr>
            <sz val="9"/>
            <color indexed="81"/>
            <rFont val="Segoe UI"/>
            <family val="2"/>
          </rPr>
          <t xml:space="preserve">
É a area que representa a potência recebida pela Tag. Não é a area da Tag.</t>
        </r>
      </text>
    </comment>
    <comment ref="A15" authorId="1">
      <text>
        <r>
          <rPr>
            <sz val="9"/>
            <color indexed="81"/>
            <rFont val="Tahoma"/>
            <family val="2"/>
          </rPr>
          <t xml:space="preserve">
É definido como a razão entre o campo elétrico e a tensão induzida.  Permitr
 que um receptor calcule a intensidade de campo real a partir da tensão que recebe.</t>
        </r>
      </text>
    </comment>
    <comment ref="A16" authorId="0">
      <text>
        <r>
          <rPr>
            <b/>
            <sz val="9"/>
            <color indexed="81"/>
            <rFont val="Segoe UI"/>
            <family val="2"/>
          </rPr>
          <t>Lenovo Carbon X1:</t>
        </r>
        <r>
          <rPr>
            <sz val="9"/>
            <color indexed="81"/>
            <rFont val="Segoe UI"/>
            <family val="2"/>
          </rPr>
          <t xml:space="preserve">
É conhecido no datasheet do chip e representa seu comportamento no Threshold.</t>
        </r>
      </text>
    </comment>
    <comment ref="A17" authorId="0">
      <text>
        <r>
          <rPr>
            <b/>
            <sz val="9"/>
            <color indexed="81"/>
            <rFont val="Segoe UI"/>
            <family val="2"/>
          </rPr>
          <t>Lenovo Carbon X1:</t>
        </r>
        <r>
          <rPr>
            <sz val="9"/>
            <color indexed="81"/>
            <rFont val="Segoe UI"/>
            <family val="2"/>
          </rPr>
          <t xml:space="preserve">
A sensibilidade do Tag é o seu ponto de Threshold no Link Direto</t>
        </r>
      </text>
    </comment>
    <comment ref="A20" authorId="1">
      <text>
        <r>
          <rPr>
            <b/>
            <sz val="9"/>
            <color indexed="81"/>
            <rFont val="Tahoma"/>
            <family val="2"/>
          </rPr>
          <t>Michel:</t>
        </r>
        <r>
          <rPr>
            <sz val="9"/>
            <color indexed="81"/>
            <rFont val="Tahoma"/>
            <family val="2"/>
          </rPr>
          <t xml:space="preserve">
É a perda da intensidade do sinal de backscatter modulado </t>
        </r>
      </text>
    </comment>
    <comment ref="A23" authorId="0">
      <text>
        <r>
          <rPr>
            <b/>
            <sz val="9"/>
            <color indexed="81"/>
            <rFont val="Segoe UI"/>
            <family val="2"/>
          </rPr>
          <t>Lenovo Carbon X1:</t>
        </r>
        <r>
          <rPr>
            <sz val="9"/>
            <color indexed="81"/>
            <rFont val="Segoe UI"/>
            <family val="2"/>
          </rPr>
          <t xml:space="preserve">
Esta é a mesma distância que foi usada no link direto.</t>
        </r>
      </text>
    </comment>
    <comment ref="A24" authorId="0">
      <text>
        <r>
          <rPr>
            <b/>
            <sz val="9"/>
            <color indexed="81"/>
            <rFont val="Segoe UI"/>
            <family val="2"/>
          </rPr>
          <t>Lenovo Carbon X1:</t>
        </r>
        <r>
          <rPr>
            <sz val="9"/>
            <color indexed="81"/>
            <rFont val="Segoe UI"/>
            <family val="2"/>
          </rPr>
          <t xml:space="preserve">
Este é o mesmo valor calculado no link direto.</t>
        </r>
      </text>
    </comment>
    <comment ref="A28" authorId="0">
      <text>
        <r>
          <rPr>
            <b/>
            <sz val="9"/>
            <color indexed="81"/>
            <rFont val="Segoe UI"/>
            <family val="2"/>
          </rPr>
          <t>Lenovo Carbon X1:</t>
        </r>
        <r>
          <rPr>
            <sz val="9"/>
            <color indexed="81"/>
            <rFont val="Segoe UI"/>
            <family val="2"/>
          </rPr>
          <t xml:space="preserve">
Este é o valor calculado da potência que chega à antena do reader.
 </t>
        </r>
      </text>
    </comment>
    <comment ref="A29" authorId="0">
      <text>
        <r>
          <rPr>
            <b/>
            <sz val="9"/>
            <color indexed="81"/>
            <rFont val="Segoe UI"/>
            <family val="2"/>
          </rPr>
          <t>Lenovo Carbon X1:</t>
        </r>
        <r>
          <rPr>
            <sz val="9"/>
            <color indexed="81"/>
            <rFont val="Segoe UI"/>
            <family val="2"/>
          </rPr>
          <t xml:space="preserve">
Entre com o valor da sensibilidade do reader. Normalmente em readers manuais este valor não é apontado pelos fabricantes. Para readers manuais recomento usarem -70 dBm.</t>
        </r>
      </text>
    </comment>
    <comment ref="A30" authorId="0">
      <text>
        <r>
          <rPr>
            <b/>
            <sz val="9"/>
            <color indexed="81"/>
            <rFont val="Segoe UI"/>
            <family val="2"/>
          </rPr>
          <t>Lenovo Carbon X1:</t>
        </r>
        <r>
          <rPr>
            <sz val="9"/>
            <color indexed="81"/>
            <rFont val="Segoe UI"/>
            <family val="2"/>
          </rPr>
          <t xml:space="preserve">
Esta é a margem do link direto calculada. Ela expressa o quanto o sistema é robusto.</t>
        </r>
      </text>
    </comment>
    <comment ref="A31" authorId="0">
      <text>
        <r>
          <rPr>
            <b/>
            <sz val="9"/>
            <color indexed="81"/>
            <rFont val="Segoe UI"/>
            <family val="2"/>
          </rPr>
          <t>Lenovo Carbon X1:</t>
        </r>
        <r>
          <rPr>
            <sz val="9"/>
            <color indexed="81"/>
            <rFont val="Segoe UI"/>
            <family val="2"/>
          </rPr>
          <t xml:space="preserve">
Esta é a margem do link reverso calculada. Ela expressa o quanto o sistema é robusto.</t>
        </r>
      </text>
    </comment>
    <comment ref="A34" authorId="0">
      <text>
        <r>
          <rPr>
            <b/>
            <sz val="9"/>
            <color indexed="81"/>
            <rFont val="Segoe UI"/>
            <family val="2"/>
          </rPr>
          <t>Lenovo Carbon X1:</t>
        </r>
        <r>
          <rPr>
            <sz val="9"/>
            <color indexed="81"/>
            <rFont val="Segoe UI"/>
            <family val="2"/>
          </rPr>
          <t xml:space="preserve">
Este é o valor da distancia do link direto em que a Tag responde em seu threshold.
</t>
        </r>
      </text>
    </comment>
    <comment ref="A35" authorId="0">
      <text>
        <r>
          <rPr>
            <b/>
            <sz val="9"/>
            <color indexed="81"/>
            <rFont val="Segoe UI"/>
            <family val="2"/>
          </rPr>
          <t>Lenovo Carbon X1:</t>
        </r>
        <r>
          <rPr>
            <sz val="9"/>
            <color indexed="81"/>
            <rFont val="Segoe UI"/>
            <family val="2"/>
          </rPr>
          <t xml:space="preserve">
Este é o valor da distancia do link reverso em que o sinal da Tag responde no Threshold do reader.</t>
        </r>
      </text>
    </comment>
  </commentList>
</comments>
</file>

<file path=xl/sharedStrings.xml><?xml version="1.0" encoding="utf-8"?>
<sst xmlns="http://schemas.openxmlformats.org/spreadsheetml/2006/main" count="271" uniqueCount="147">
  <si>
    <t>Frequência</t>
  </si>
  <si>
    <t>dBm</t>
  </si>
  <si>
    <t>m</t>
  </si>
  <si>
    <t>MHz</t>
  </si>
  <si>
    <t>Potência Refletida no Tag</t>
  </si>
  <si>
    <t>Potência na Antena Rx</t>
  </si>
  <si>
    <t>Sensibilidade do Chip</t>
  </si>
  <si>
    <t>Ganho da Antena do Tag</t>
  </si>
  <si>
    <t>Inicio das medidas</t>
  </si>
  <si>
    <t>Posição da Margem</t>
  </si>
  <si>
    <t>Margem Link Reverso</t>
  </si>
  <si>
    <t>Margem Link Direto</t>
  </si>
  <si>
    <t>Potência Irradiada</t>
  </si>
  <si>
    <t>Máxima Potencia Irradiada Permitida</t>
  </si>
  <si>
    <t>Potência no Tag</t>
  </si>
  <si>
    <t>Perda no Espaço (Link Direto)</t>
  </si>
  <si>
    <t>Perda no Espaço (Link Reverso)</t>
  </si>
  <si>
    <t>Potência Recebida no Leitor</t>
  </si>
  <si>
    <t>Sensibilidade do Leitor</t>
  </si>
  <si>
    <t>dBi</t>
  </si>
  <si>
    <t>Potência Tx Leitor</t>
  </si>
  <si>
    <t>Distância do Tag a Ant Tx</t>
  </si>
  <si>
    <t>Distância do Tag à Ant Rx</t>
  </si>
  <si>
    <t>Valor Y</t>
  </si>
  <si>
    <t>Valor X</t>
  </si>
  <si>
    <t>dB</t>
  </si>
  <si>
    <t>Forward</t>
  </si>
  <si>
    <t>Reverse</t>
  </si>
  <si>
    <t xml:space="preserve">Sensibilidade do Tag </t>
  </si>
  <si>
    <t>Abertura da Antena do Tag</t>
  </si>
  <si>
    <t>m2</t>
  </si>
  <si>
    <t>Intensidade do Campo Elétrico</t>
  </si>
  <si>
    <t>Intensidade do Campo magnético</t>
  </si>
  <si>
    <t>V/m</t>
  </si>
  <si>
    <t>A/m</t>
  </si>
  <si>
    <t>Fator Antena (Antenna factor)</t>
  </si>
  <si>
    <t>dB/m</t>
  </si>
  <si>
    <t>Ganho da Antena Tx (Simplex)</t>
  </si>
  <si>
    <t>Ganho da Antena Rx (Simplex)</t>
  </si>
  <si>
    <t>Perda no Cabo Tx (Simplex)</t>
  </si>
  <si>
    <t>Perda no Cabo Rx (Simplex)</t>
  </si>
  <si>
    <t>Taxa de onda Estacionária</t>
  </si>
  <si>
    <t>-</t>
  </si>
  <si>
    <t>POTÊNCIA</t>
  </si>
  <si>
    <t xml:space="preserve">entrada --&gt; </t>
  </si>
  <si>
    <t>dbm</t>
  </si>
  <si>
    <t>resposta --&gt;</t>
  </si>
  <si>
    <t>Watts</t>
  </si>
  <si>
    <t>GANHO</t>
  </si>
  <si>
    <t>Linear</t>
  </si>
  <si>
    <t>Perda do Sinal</t>
  </si>
  <si>
    <t>T.O.E</t>
  </si>
  <si>
    <t>CONHECIMENTO DO CLIENTE</t>
  </si>
  <si>
    <t>RISCO</t>
  </si>
  <si>
    <t>POUCO</t>
  </si>
  <si>
    <t>MÉDIO</t>
  </si>
  <si>
    <t>CONHECIMENTO DO INTEGRADOR</t>
  </si>
  <si>
    <t>BAIXO</t>
  </si>
  <si>
    <t>ALTO</t>
  </si>
  <si>
    <t>POC</t>
  </si>
  <si>
    <t>&lt;=Threshold</t>
  </si>
  <si>
    <t>3dB</t>
  </si>
  <si>
    <t>3 dB</t>
  </si>
  <si>
    <t>6dB</t>
  </si>
  <si>
    <t>9dB</t>
  </si>
  <si>
    <r>
      <t>dB/m</t>
    </r>
    <r>
      <rPr>
        <sz val="11"/>
        <color theme="1"/>
        <rFont val="Arial"/>
        <family val="2"/>
      </rPr>
      <t>²</t>
    </r>
  </si>
  <si>
    <t xml:space="preserve">Perda de Conversão </t>
  </si>
  <si>
    <t>Max Link Direto</t>
  </si>
  <si>
    <t>Max Link Reverso</t>
  </si>
  <si>
    <t>RCS Radar Cross Section)</t>
  </si>
  <si>
    <t>Antena Pol Circular=1 Linear=0</t>
  </si>
  <si>
    <t>cm</t>
  </si>
  <si>
    <t>Maior dimensão da antena</t>
  </si>
  <si>
    <t>Fresnel X</t>
  </si>
  <si>
    <t>Fresnel Y</t>
  </si>
  <si>
    <t>Campo Próximo</t>
  </si>
  <si>
    <t>Far Field</t>
  </si>
  <si>
    <t>Radiating Field</t>
  </si>
  <si>
    <t>Reactive NF</t>
  </si>
  <si>
    <t>Plot</t>
  </si>
  <si>
    <t>Fim</t>
  </si>
  <si>
    <t>Meio</t>
  </si>
  <si>
    <t>Inicio</t>
  </si>
  <si>
    <r>
      <t>Se D~=</t>
    </r>
    <r>
      <rPr>
        <sz val="11"/>
        <color theme="1"/>
        <rFont val="Symbol"/>
        <family val="1"/>
        <charset val="2"/>
      </rPr>
      <t>l</t>
    </r>
  </si>
  <si>
    <t>Calculo</t>
  </si>
  <si>
    <r>
      <t>2D²/</t>
    </r>
    <r>
      <rPr>
        <sz val="11"/>
        <color theme="1"/>
        <rFont val="Symbol"/>
        <family val="1"/>
        <charset val="2"/>
      </rPr>
      <t>l</t>
    </r>
  </si>
  <si>
    <r>
      <t>3</t>
    </r>
    <r>
      <rPr>
        <sz val="11"/>
        <color theme="1"/>
        <rFont val="Symbol"/>
        <family val="1"/>
        <charset val="2"/>
      </rPr>
      <t>l</t>
    </r>
  </si>
  <si>
    <r>
      <rPr>
        <sz val="11"/>
        <color theme="1"/>
        <rFont val="Symbol"/>
        <family val="1"/>
        <charset val="2"/>
      </rPr>
      <t>l</t>
    </r>
    <r>
      <rPr>
        <sz val="11"/>
        <color theme="1"/>
        <rFont val="Calibri"/>
        <family val="2"/>
      </rPr>
      <t>/2</t>
    </r>
    <r>
      <rPr>
        <sz val="11"/>
        <color theme="1"/>
        <rFont val="Symbol"/>
        <family val="1"/>
        <charset val="2"/>
      </rPr>
      <t>p</t>
    </r>
  </si>
  <si>
    <t xml:space="preserve">m </t>
  </si>
  <si>
    <r>
      <t xml:space="preserve">l </t>
    </r>
    <r>
      <rPr>
        <sz val="11"/>
        <color theme="1"/>
        <rFont val="Calibri"/>
        <family val="2"/>
      </rPr>
      <t>(wave lengh)</t>
    </r>
  </si>
  <si>
    <t>F (frequejncy)</t>
  </si>
  <si>
    <t>D(Antena Size)</t>
  </si>
  <si>
    <t>Reactive and Radiating</t>
  </si>
  <si>
    <t>Radiating</t>
  </si>
  <si>
    <t>Lambda</t>
  </si>
  <si>
    <t>Sucesso</t>
  </si>
  <si>
    <t>Poucos Problemas</t>
  </si>
  <si>
    <t>Alguns Problemas</t>
  </si>
  <si>
    <t>Muitos Problemas</t>
  </si>
  <si>
    <t>Fracasso</t>
  </si>
  <si>
    <t>Continuidade</t>
  </si>
  <si>
    <t xml:space="preserve">Implementação </t>
  </si>
  <si>
    <t>Até</t>
  </si>
  <si>
    <t xml:space="preserve">De </t>
  </si>
  <si>
    <t>REDUZINDO IMPACOS COM AS MARGENS</t>
  </si>
  <si>
    <t>Margem dos Links</t>
  </si>
  <si>
    <t>MUITO</t>
  </si>
  <si>
    <t>MB Eng - Planilha RFID Rev  18 DESENVOLVIMENTO</t>
  </si>
  <si>
    <t>Revisão 01        05/11/2024</t>
  </si>
  <si>
    <r>
      <rPr>
        <sz val="8"/>
        <color theme="1"/>
        <rFont val="Calibri"/>
        <family val="2"/>
      </rPr>
      <t xml:space="preserve">° </t>
    </r>
    <r>
      <rPr>
        <sz val="8"/>
        <color theme="1"/>
        <rFont val="Calibri"/>
        <family val="2"/>
        <scheme val="minor"/>
      </rPr>
      <t>A classificação das margens apresentadas  é subjetiva</t>
    </r>
  </si>
  <si>
    <t>Obtenha aqui a distância de leitura  aproximada para a margem desejada</t>
  </si>
  <si>
    <r>
      <rPr>
        <sz val="8"/>
        <color theme="1"/>
        <rFont val="Calibri"/>
        <family val="2"/>
      </rPr>
      <t xml:space="preserve">° </t>
    </r>
    <r>
      <rPr>
        <sz val="8"/>
        <color theme="1"/>
        <rFont val="Calibri"/>
        <family val="2"/>
        <scheme val="minor"/>
      </rPr>
      <t>Válido para Link reverso &gt; Link Direto</t>
    </r>
  </si>
  <si>
    <r>
      <rPr>
        <sz val="8"/>
        <color theme="1"/>
        <rFont val="Calibri"/>
        <family val="2"/>
      </rPr>
      <t xml:space="preserve">° </t>
    </r>
    <r>
      <rPr>
        <sz val="8"/>
        <color theme="1"/>
        <rFont val="Calibri"/>
        <family val="2"/>
        <scheme val="minor"/>
      </rPr>
      <t xml:space="preserve">Planilha de cálculo de margem do Link Direto </t>
    </r>
  </si>
  <si>
    <t>(+9 dB)</t>
  </si>
  <si>
    <r>
      <t>Considerações</t>
    </r>
    <r>
      <rPr>
        <sz val="11"/>
        <color theme="1"/>
        <rFont val="Calibri"/>
        <family val="2"/>
        <scheme val="minor"/>
      </rPr>
      <t>:</t>
    </r>
  </si>
  <si>
    <t>(+8dB)</t>
  </si>
  <si>
    <t>(+7dB)</t>
  </si>
  <si>
    <t>Ótimo</t>
  </si>
  <si>
    <t>(+6dB)</t>
  </si>
  <si>
    <t>(+5dB)</t>
  </si>
  <si>
    <t>(+4dB)</t>
  </si>
  <si>
    <t>Bom</t>
  </si>
  <si>
    <t>(+3dB)</t>
  </si>
  <si>
    <t>(+2dB)</t>
  </si>
  <si>
    <t>(+1dB)</t>
  </si>
  <si>
    <t>Mínimo</t>
  </si>
  <si>
    <t>Distância</t>
  </si>
  <si>
    <t>Margem</t>
  </si>
  <si>
    <t>Instruções:
1 - determine a maxima distância de leitura
2 - entre com a medida na célula G6
3 - escolha a distância de leitura para
      garantir a margem desejada no projeto</t>
  </si>
  <si>
    <t>d (threshold) ----&gt;</t>
  </si>
  <si>
    <t xml:space="preserve"> </t>
  </si>
  <si>
    <t>Entre aqui a distância máxima obtida de leitura com sucesso (threshold)</t>
  </si>
  <si>
    <t>Potência Tx Beacon</t>
  </si>
  <si>
    <t>Ganho da Antena Tx</t>
  </si>
  <si>
    <t>Distância do Beacon - (Link)</t>
  </si>
  <si>
    <t>Perda no Espaço - (Link)</t>
  </si>
  <si>
    <t>Potência no Receptor</t>
  </si>
  <si>
    <t>Ganho da Antena do Reader</t>
  </si>
  <si>
    <t>Sensibilidade do Receptor</t>
  </si>
  <si>
    <t>Limite de leitura no Receptor</t>
  </si>
  <si>
    <t>Margem de segurança da leitura</t>
  </si>
  <si>
    <t>Distância máxima de Leitura</t>
  </si>
  <si>
    <t>MB Eng - Planilha Beacon Rev 1</t>
  </si>
  <si>
    <t>ENTRAR COM DADOS -------------&gt;</t>
  </si>
  <si>
    <t>RESULTADO DOS CALCULOS -----&gt;</t>
  </si>
  <si>
    <t>Entrada</t>
  </si>
  <si>
    <t>Resposta</t>
  </si>
</sst>
</file>

<file path=xl/styles.xml><?xml version="1.0" encoding="utf-8"?>
<styleSheet xmlns="http://schemas.openxmlformats.org/spreadsheetml/2006/main">
  <numFmts count="4">
    <numFmt numFmtId="164" formatCode="0.0"/>
    <numFmt numFmtId="165" formatCode="0.0E+00"/>
    <numFmt numFmtId="166" formatCode="0.0%"/>
    <numFmt numFmtId="167" formatCode="0.000"/>
  </numFmts>
  <fonts count="2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9"/>
      <color indexed="81"/>
      <name val="Segoe UI"/>
      <family val="2"/>
    </font>
    <font>
      <b/>
      <sz val="9"/>
      <color indexed="81"/>
      <name val="Segoe UI"/>
      <family val="2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1"/>
      <name val="Symbol"/>
      <family val="1"/>
      <charset val="2"/>
    </font>
    <font>
      <sz val="9.9"/>
      <color theme="1"/>
      <name val="Calibri"/>
      <family val="2"/>
    </font>
    <font>
      <sz val="11"/>
      <color theme="1"/>
      <name val="Arial"/>
      <family val="2"/>
    </font>
    <font>
      <sz val="14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6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4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theme="1"/>
      <name val="Calibri"/>
      <family val="2"/>
    </font>
    <font>
      <u/>
      <sz val="11"/>
      <color theme="1"/>
      <name val="Calibri"/>
      <family val="2"/>
      <scheme val="minor"/>
    </font>
  </fonts>
  <fills count="28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B050"/>
        <bgColor auto="1"/>
      </patternFill>
    </fill>
    <fill>
      <gradientFill>
        <stop position="0">
          <color rgb="FF92D050"/>
        </stop>
        <stop position="1">
          <color rgb="FF00B050"/>
        </stop>
      </gradientFill>
    </fill>
    <fill>
      <gradientFill>
        <stop position="0">
          <color rgb="FF92D050"/>
        </stop>
        <stop position="1">
          <color rgb="FF92D050"/>
        </stop>
      </gradientFill>
    </fill>
    <fill>
      <gradientFill>
        <stop position="0">
          <color rgb="FFFFFF00"/>
        </stop>
        <stop position="1">
          <color rgb="FF92D050"/>
        </stop>
      </gradientFill>
    </fill>
    <fill>
      <patternFill patternType="solid">
        <fgColor rgb="FF00B050"/>
        <bgColor indexed="64"/>
      </patternFill>
    </fill>
    <fill>
      <gradientFill>
        <stop position="0">
          <color rgb="FFFF0000"/>
        </stop>
        <stop position="1">
          <color rgb="FFFFFF00"/>
        </stop>
      </gradientFill>
    </fill>
    <fill>
      <patternFill patternType="solid">
        <fgColor theme="1" tint="0.14999847407452621"/>
        <bgColor indexed="64"/>
      </patternFill>
    </fill>
    <fill>
      <patternFill patternType="solid">
        <fgColor theme="1" tint="0.14999847407452621"/>
        <bgColor auto="1"/>
      </patternFill>
    </fill>
    <fill>
      <gradientFill>
        <stop position="0">
          <color rgb="FFFF0000"/>
        </stop>
        <stop position="1">
          <color theme="1"/>
        </stop>
      </gradientFill>
    </fill>
    <fill>
      <gradientFill degree="90">
        <stop position="0">
          <color rgb="FFFF0000"/>
        </stop>
        <stop position="1">
          <color rgb="FFFF0000"/>
        </stop>
      </gradientFill>
    </fill>
    <fill>
      <patternFill patternType="solid">
        <fgColor rgb="FFFFC000"/>
        <bgColor indexed="64"/>
      </patternFill>
    </fill>
    <fill>
      <patternFill patternType="solid">
        <fgColor rgb="FF7ABC32"/>
        <bgColor indexed="64"/>
      </patternFill>
    </fill>
    <fill>
      <patternFill patternType="solid">
        <fgColor theme="8" tint="0.59999389629810485"/>
        <bgColor indexed="64"/>
      </patternFill>
    </fill>
    <fill>
      <gradientFill degree="90">
        <stop position="0">
          <color rgb="FF92D050"/>
        </stop>
        <stop position="1">
          <color rgb="FF00B050"/>
        </stop>
      </gradientFill>
    </fill>
    <fill>
      <gradientFill degree="90">
        <stop position="0">
          <color rgb="FFFFFF00"/>
        </stop>
        <stop position="1">
          <color rgb="FF92D050"/>
        </stop>
      </gradientFill>
    </fill>
    <fill>
      <gradientFill degree="90">
        <stop position="0">
          <color rgb="FFFF3300"/>
        </stop>
        <stop position="1">
          <color rgb="FFFFFF00"/>
        </stop>
      </gradientFill>
    </fill>
    <fill>
      <patternFill patternType="solid">
        <fgColor rgb="FF00B0F0"/>
        <bgColor indexed="64"/>
      </patternFill>
    </fill>
    <fill>
      <patternFill patternType="solid">
        <fgColor theme="6" tint="0.59999389629810485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246">
    <xf numFmtId="0" fontId="0" fillId="0" borderId="0" xfId="0"/>
    <xf numFmtId="0" fontId="0" fillId="0" borderId="0" xfId="0" applyBorder="1" applyProtection="1">
      <protection locked="0" hidden="1"/>
    </xf>
    <xf numFmtId="164" fontId="0" fillId="2" borderId="1" xfId="0" applyNumberFormat="1" applyFill="1" applyBorder="1" applyAlignment="1" applyProtection="1">
      <alignment horizontal="center"/>
      <protection hidden="1"/>
    </xf>
    <xf numFmtId="11" fontId="0" fillId="2" borderId="1" xfId="0" applyNumberFormat="1" applyFill="1" applyBorder="1" applyAlignment="1" applyProtection="1">
      <alignment horizontal="center"/>
      <protection hidden="1"/>
    </xf>
    <xf numFmtId="164" fontId="2" fillId="4" borderId="1" xfId="0" applyNumberFormat="1" applyFont="1" applyFill="1" applyBorder="1" applyAlignment="1" applyProtection="1">
      <alignment horizontal="center"/>
      <protection hidden="1"/>
    </xf>
    <xf numFmtId="0" fontId="1" fillId="0" borderId="0" xfId="0" applyFont="1" applyFill="1" applyBorder="1" applyAlignment="1" applyProtection="1">
      <alignment horizontal="center"/>
      <protection hidden="1"/>
    </xf>
    <xf numFmtId="0" fontId="0" fillId="2" borderId="1" xfId="0" applyFill="1" applyBorder="1" applyAlignment="1" applyProtection="1">
      <alignment horizontal="center"/>
      <protection hidden="1"/>
    </xf>
    <xf numFmtId="0" fontId="1" fillId="5" borderId="11" xfId="0" applyFont="1" applyFill="1" applyBorder="1" applyAlignment="1" applyProtection="1">
      <alignment horizontal="center"/>
      <protection hidden="1"/>
    </xf>
    <xf numFmtId="0" fontId="0" fillId="0" borderId="1" xfId="0" applyFill="1" applyBorder="1" applyProtection="1">
      <protection hidden="1"/>
    </xf>
    <xf numFmtId="0" fontId="0" fillId="0" borderId="0" xfId="0" applyAlignment="1" applyProtection="1">
      <alignment horizontal="center"/>
      <protection hidden="1"/>
    </xf>
    <xf numFmtId="0" fontId="0" fillId="0" borderId="0" xfId="0" applyBorder="1" applyProtection="1">
      <protection hidden="1"/>
    </xf>
    <xf numFmtId="0" fontId="0" fillId="0" borderId="0" xfId="0" applyProtection="1">
      <protection hidden="1"/>
    </xf>
    <xf numFmtId="0" fontId="0" fillId="7" borderId="5" xfId="0" applyFill="1" applyBorder="1" applyAlignment="1" applyProtection="1">
      <alignment horizontal="center"/>
      <protection hidden="1"/>
    </xf>
    <xf numFmtId="0" fontId="2" fillId="6" borderId="7" xfId="0" applyFont="1" applyFill="1" applyBorder="1" applyAlignment="1" applyProtection="1">
      <alignment horizontal="center"/>
      <protection hidden="1"/>
    </xf>
    <xf numFmtId="0" fontId="0" fillId="3" borderId="1" xfId="0" applyFill="1" applyBorder="1" applyAlignment="1" applyProtection="1">
      <alignment horizontal="center"/>
      <protection locked="0" hidden="1"/>
    </xf>
    <xf numFmtId="164" fontId="2" fillId="6" borderId="5" xfId="0" applyNumberFormat="1" applyFont="1" applyFill="1" applyBorder="1" applyAlignment="1" applyProtection="1">
      <alignment horizontal="center"/>
      <protection hidden="1"/>
    </xf>
    <xf numFmtId="0" fontId="0" fillId="0" borderId="0" xfId="0" applyFill="1" applyBorder="1" applyAlignment="1" applyProtection="1">
      <alignment horizontal="center"/>
      <protection hidden="1"/>
    </xf>
    <xf numFmtId="0" fontId="2" fillId="7" borderId="5" xfId="0" applyFont="1" applyFill="1" applyBorder="1" applyAlignment="1" applyProtection="1">
      <alignment horizontal="center"/>
      <protection hidden="1"/>
    </xf>
    <xf numFmtId="165" fontId="0" fillId="2" borderId="1" xfId="0" applyNumberFormat="1" applyFill="1" applyBorder="1" applyAlignment="1" applyProtection="1">
      <alignment horizontal="center"/>
      <protection hidden="1"/>
    </xf>
    <xf numFmtId="0" fontId="0" fillId="0" borderId="0" xfId="0" applyBorder="1" applyAlignment="1" applyProtection="1">
      <alignment horizontal="center"/>
      <protection locked="0" hidden="1"/>
    </xf>
    <xf numFmtId="0" fontId="0" fillId="4" borderId="1" xfId="0" applyFill="1" applyBorder="1" applyProtection="1">
      <protection hidden="1"/>
    </xf>
    <xf numFmtId="0" fontId="1" fillId="5" borderId="8" xfId="0" applyFont="1" applyFill="1" applyBorder="1" applyProtection="1">
      <protection hidden="1"/>
    </xf>
    <xf numFmtId="0" fontId="1" fillId="5" borderId="9" xfId="0" applyFont="1" applyFill="1" applyBorder="1" applyAlignment="1" applyProtection="1">
      <alignment horizontal="center"/>
      <protection hidden="1"/>
    </xf>
    <xf numFmtId="0" fontId="1" fillId="0" borderId="0" xfId="0" applyFont="1" applyFill="1" applyAlignment="1" applyProtection="1">
      <alignment horizontal="center"/>
      <protection hidden="1"/>
    </xf>
    <xf numFmtId="0" fontId="1" fillId="5" borderId="10" xfId="0" applyFont="1" applyFill="1" applyBorder="1" applyProtection="1">
      <protection hidden="1"/>
    </xf>
    <xf numFmtId="0" fontId="0" fillId="4" borderId="2" xfId="0" applyFill="1" applyBorder="1" applyProtection="1">
      <protection hidden="1"/>
    </xf>
    <xf numFmtId="0" fontId="3" fillId="0" borderId="0" xfId="0" applyFont="1" applyAlignment="1" applyProtection="1">
      <alignment horizontal="center"/>
      <protection hidden="1"/>
    </xf>
    <xf numFmtId="0" fontId="3" fillId="0" borderId="0" xfId="0" applyFont="1" applyBorder="1" applyProtection="1">
      <protection hidden="1"/>
    </xf>
    <xf numFmtId="0" fontId="3" fillId="0" borderId="0" xfId="0" applyFont="1" applyProtection="1">
      <protection hidden="1"/>
    </xf>
    <xf numFmtId="0" fontId="1" fillId="0" borderId="0" xfId="0" applyFont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0" fontId="1" fillId="0" borderId="0" xfId="0" applyFont="1" applyBorder="1" applyProtection="1">
      <protection hidden="1"/>
    </xf>
    <xf numFmtId="0" fontId="1" fillId="0" borderId="0" xfId="0" applyFont="1" applyFill="1" applyBorder="1" applyProtection="1">
      <protection hidden="1"/>
    </xf>
    <xf numFmtId="0" fontId="3" fillId="0" borderId="0" xfId="0" applyFont="1" applyFill="1" applyBorder="1" applyProtection="1">
      <protection hidden="1"/>
    </xf>
    <xf numFmtId="49" fontId="1" fillId="0" borderId="0" xfId="0" applyNumberFormat="1" applyFont="1" applyFill="1" applyBorder="1" applyProtection="1">
      <protection hidden="1"/>
    </xf>
    <xf numFmtId="164" fontId="1" fillId="0" borderId="0" xfId="0" applyNumberFormat="1" applyFont="1" applyAlignment="1" applyProtection="1">
      <alignment horizontal="center"/>
      <protection hidden="1"/>
    </xf>
    <xf numFmtId="0" fontId="0" fillId="0" borderId="18" xfId="0" applyBorder="1" applyAlignment="1" applyProtection="1">
      <alignment horizontal="right"/>
      <protection hidden="1"/>
    </xf>
    <xf numFmtId="0" fontId="0" fillId="0" borderId="13" xfId="0" applyBorder="1" applyAlignment="1" applyProtection="1">
      <alignment horizontal="right"/>
      <protection hidden="1"/>
    </xf>
    <xf numFmtId="0" fontId="0" fillId="0" borderId="14" xfId="0" applyBorder="1" applyAlignment="1" applyProtection="1">
      <alignment horizontal="left"/>
      <protection hidden="1"/>
    </xf>
    <xf numFmtId="0" fontId="0" fillId="0" borderId="1" xfId="0" applyBorder="1" applyProtection="1">
      <protection hidden="1"/>
    </xf>
    <xf numFmtId="0" fontId="0" fillId="0" borderId="1" xfId="0" applyBorder="1" applyAlignment="1" applyProtection="1">
      <alignment horizontal="center"/>
      <protection hidden="1"/>
    </xf>
    <xf numFmtId="0" fontId="0" fillId="0" borderId="16" xfId="0" applyBorder="1" applyAlignment="1" applyProtection="1">
      <alignment horizontal="left"/>
      <protection hidden="1"/>
    </xf>
    <xf numFmtId="0" fontId="0" fillId="0" borderId="3" xfId="0" applyBorder="1" applyAlignment="1" applyProtection="1">
      <alignment horizontal="left"/>
      <protection hidden="1"/>
    </xf>
    <xf numFmtId="0" fontId="0" fillId="0" borderId="0" xfId="0" applyBorder="1" applyAlignment="1" applyProtection="1">
      <alignment horizontal="center"/>
      <protection hidden="1"/>
    </xf>
    <xf numFmtId="0" fontId="0" fillId="0" borderId="0" xfId="0" applyBorder="1" applyAlignment="1" applyProtection="1">
      <alignment horizontal="left"/>
      <protection hidden="1"/>
    </xf>
    <xf numFmtId="0" fontId="0" fillId="0" borderId="0" xfId="0" applyFill="1"/>
    <xf numFmtId="0" fontId="0" fillId="5" borderId="0" xfId="0" applyFill="1" applyBorder="1"/>
    <xf numFmtId="0" fontId="7" fillId="5" borderId="0" xfId="0" applyFont="1" applyFill="1" applyBorder="1" applyAlignment="1">
      <alignment horizontal="center" vertical="center"/>
    </xf>
    <xf numFmtId="0" fontId="0" fillId="5" borderId="0" xfId="0" applyFill="1" applyBorder="1" applyAlignment="1">
      <alignment horizontal="center" vertical="center" textRotation="90" wrapText="1"/>
    </xf>
    <xf numFmtId="0" fontId="0" fillId="3" borderId="1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textRotation="90" wrapText="1"/>
    </xf>
    <xf numFmtId="0" fontId="0" fillId="0" borderId="0" xfId="0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65" fontId="0" fillId="2" borderId="18" xfId="0" applyNumberFormat="1" applyFill="1" applyBorder="1" applyAlignment="1" applyProtection="1">
      <alignment horizontal="center"/>
      <protection hidden="1"/>
    </xf>
    <xf numFmtId="165" fontId="0" fillId="0" borderId="0" xfId="0" applyNumberFormat="1" applyProtection="1">
      <protection hidden="1"/>
    </xf>
    <xf numFmtId="0" fontId="0" fillId="7" borderId="7" xfId="0" applyFill="1" applyBorder="1" applyAlignment="1" applyProtection="1">
      <alignment horizontal="center"/>
      <protection hidden="1"/>
    </xf>
    <xf numFmtId="0" fontId="0" fillId="0" borderId="7" xfId="0" applyBorder="1" applyAlignment="1" applyProtection="1">
      <alignment horizontal="center"/>
      <protection hidden="1"/>
    </xf>
    <xf numFmtId="0" fontId="0" fillId="0" borderId="7" xfId="0" applyFill="1" applyBorder="1" applyAlignment="1" applyProtection="1">
      <alignment horizontal="center"/>
      <protection hidden="1"/>
    </xf>
    <xf numFmtId="0" fontId="0" fillId="0" borderId="4" xfId="0" applyFill="1" applyBorder="1" applyProtection="1">
      <protection hidden="1"/>
    </xf>
    <xf numFmtId="2" fontId="0" fillId="2" borderId="30" xfId="0" applyNumberFormat="1" applyFill="1" applyBorder="1" applyAlignment="1" applyProtection="1">
      <alignment horizontal="center"/>
      <protection hidden="1"/>
    </xf>
    <xf numFmtId="11" fontId="0" fillId="2" borderId="30" xfId="0" applyNumberFormat="1" applyFill="1" applyBorder="1" applyAlignment="1" applyProtection="1">
      <alignment horizontal="center"/>
      <protection hidden="1"/>
    </xf>
    <xf numFmtId="164" fontId="0" fillId="2" borderId="19" xfId="0" applyNumberFormat="1" applyFill="1" applyBorder="1" applyAlignment="1" applyProtection="1">
      <alignment horizontal="center"/>
      <protection hidden="1"/>
    </xf>
    <xf numFmtId="164" fontId="0" fillId="0" borderId="1" xfId="0" applyNumberFormat="1" applyBorder="1" applyAlignment="1" applyProtection="1">
      <alignment horizontal="center"/>
      <protection hidden="1"/>
    </xf>
    <xf numFmtId="0" fontId="0" fillId="2" borderId="19" xfId="0" applyFill="1" applyBorder="1" applyAlignment="1" applyProtection="1">
      <alignment horizontal="center"/>
      <protection hidden="1"/>
    </xf>
    <xf numFmtId="0" fontId="9" fillId="0" borderId="1" xfId="0" applyFont="1" applyFill="1" applyBorder="1" applyProtection="1">
      <protection hidden="1"/>
    </xf>
    <xf numFmtId="0" fontId="11" fillId="0" borderId="0" xfId="0" applyFont="1" applyProtection="1">
      <protection hidden="1"/>
    </xf>
    <xf numFmtId="0" fontId="0" fillId="6" borderId="7" xfId="0" applyFont="1" applyFill="1" applyBorder="1" applyAlignment="1" applyProtection="1">
      <alignment horizontal="center"/>
      <protection hidden="1"/>
    </xf>
    <xf numFmtId="2" fontId="0" fillId="0" borderId="0" xfId="0" applyNumberFormat="1"/>
    <xf numFmtId="2" fontId="0" fillId="0" borderId="1" xfId="0" applyNumberFormat="1" applyBorder="1"/>
    <xf numFmtId="0" fontId="0" fillId="0" borderId="1" xfId="0" applyBorder="1"/>
    <xf numFmtId="0" fontId="0" fillId="0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Fill="1" applyBorder="1"/>
    <xf numFmtId="0" fontId="0" fillId="0" borderId="0" xfId="0" applyFill="1" applyBorder="1"/>
    <xf numFmtId="2" fontId="0" fillId="0" borderId="0" xfId="0" applyNumberFormat="1" applyFill="1" applyBorder="1"/>
    <xf numFmtId="2" fontId="0" fillId="0" borderId="0" xfId="0" applyNumberFormat="1" applyFill="1" applyBorder="1" applyAlignment="1">
      <alignment horizontal="center"/>
    </xf>
    <xf numFmtId="2" fontId="0" fillId="3" borderId="1" xfId="0" applyNumberForma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0" borderId="0" xfId="0" applyFill="1" applyBorder="1" applyAlignment="1"/>
    <xf numFmtId="0" fontId="12" fillId="0" borderId="0" xfId="0" applyFont="1" applyFill="1" applyBorder="1"/>
    <xf numFmtId="0" fontId="12" fillId="0" borderId="0" xfId="0" applyFont="1"/>
    <xf numFmtId="0" fontId="0" fillId="2" borderId="1" xfId="0" applyFill="1" applyBorder="1"/>
    <xf numFmtId="167" fontId="0" fillId="2" borderId="1" xfId="0" applyNumberFormat="1" applyFill="1" applyBorder="1"/>
    <xf numFmtId="0" fontId="8" fillId="2" borderId="1" xfId="0" applyFont="1" applyFill="1" applyBorder="1"/>
    <xf numFmtId="164" fontId="1" fillId="0" borderId="0" xfId="0" applyNumberFormat="1" applyFont="1" applyBorder="1" applyAlignment="1" applyProtection="1">
      <alignment horizontal="center"/>
      <protection hidden="1"/>
    </xf>
    <xf numFmtId="0" fontId="1" fillId="0" borderId="0" xfId="0" applyFont="1" applyBorder="1" applyAlignment="1" applyProtection="1">
      <alignment horizontal="center"/>
      <protection hidden="1"/>
    </xf>
    <xf numFmtId="0" fontId="1" fillId="0" borderId="0" xfId="0" applyFont="1" applyFill="1" applyBorder="1" applyProtection="1">
      <protection locked="0" hidden="1"/>
    </xf>
    <xf numFmtId="164" fontId="1" fillId="0" borderId="0" xfId="0" applyNumberFormat="1" applyFont="1" applyBorder="1" applyProtection="1">
      <protection hidden="1"/>
    </xf>
    <xf numFmtId="0" fontId="1" fillId="0" borderId="0" xfId="0" applyFont="1" applyBorder="1" applyProtection="1">
      <protection locked="0" hidden="1"/>
    </xf>
    <xf numFmtId="0" fontId="1" fillId="0" borderId="0" xfId="0" applyFont="1" applyBorder="1" applyAlignment="1" applyProtection="1">
      <alignment horizontal="center"/>
      <protection hidden="1"/>
    </xf>
    <xf numFmtId="2" fontId="1" fillId="0" borderId="0" xfId="0" applyNumberFormat="1" applyFont="1" applyBorder="1" applyProtection="1">
      <protection hidden="1"/>
    </xf>
    <xf numFmtId="49" fontId="1" fillId="0" borderId="0" xfId="0" applyNumberFormat="1" applyFont="1" applyBorder="1" applyProtection="1">
      <protection hidden="1"/>
    </xf>
    <xf numFmtId="2" fontId="1" fillId="0" borderId="0" xfId="0" applyNumberFormat="1" applyFont="1" applyBorder="1" applyAlignment="1" applyProtection="1">
      <alignment horizontal="center"/>
      <protection hidden="1"/>
    </xf>
    <xf numFmtId="0" fontId="0" fillId="9" borderId="6" xfId="0" applyFill="1" applyBorder="1" applyAlignment="1">
      <alignment horizontal="center"/>
    </xf>
    <xf numFmtId="0" fontId="0" fillId="10" borderId="1" xfId="0" applyFill="1" applyBorder="1" applyAlignment="1"/>
    <xf numFmtId="0" fontId="0" fillId="11" borderId="1" xfId="0" applyFill="1" applyBorder="1" applyAlignment="1"/>
    <xf numFmtId="0" fontId="0" fillId="12" borderId="1" xfId="0" applyFill="1" applyBorder="1" applyAlignment="1"/>
    <xf numFmtId="0" fontId="0" fillId="13" borderId="1" xfId="0" applyFill="1" applyBorder="1" applyAlignment="1"/>
    <xf numFmtId="0" fontId="0" fillId="14" borderId="0" xfId="0" applyFill="1"/>
    <xf numFmtId="0" fontId="0" fillId="2" borderId="0" xfId="0" applyFill="1"/>
    <xf numFmtId="0" fontId="0" fillId="3" borderId="1" xfId="0" applyFill="1" applyBorder="1" applyAlignment="1"/>
    <xf numFmtId="0" fontId="0" fillId="15" borderId="1" xfId="0" applyFill="1" applyBorder="1" applyAlignment="1"/>
    <xf numFmtId="0" fontId="0" fillId="3" borderId="0" xfId="0" applyFill="1"/>
    <xf numFmtId="0" fontId="0" fillId="8" borderId="0" xfId="0" applyFill="1"/>
    <xf numFmtId="0" fontId="0" fillId="16" borderId="0" xfId="0" applyFill="1"/>
    <xf numFmtId="0" fontId="0" fillId="17" borderId="1" xfId="0" applyFill="1" applyBorder="1" applyAlignment="1"/>
    <xf numFmtId="0" fontId="0" fillId="18" borderId="1" xfId="0" applyFill="1" applyBorder="1" applyAlignment="1"/>
    <xf numFmtId="0" fontId="0" fillId="19" borderId="1" xfId="0" applyFill="1" applyBorder="1" applyAlignment="1"/>
    <xf numFmtId="0" fontId="0" fillId="9" borderId="1" xfId="0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3" xfId="0" applyFill="1" applyBorder="1" applyAlignment="1">
      <alignment horizontal="center" vertical="center"/>
    </xf>
    <xf numFmtId="0" fontId="0" fillId="0" borderId="18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/>
    </xf>
    <xf numFmtId="0" fontId="0" fillId="0" borderId="16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21" xfId="0" applyFill="1" applyBorder="1" applyAlignment="1">
      <alignment horizontal="center" vertical="center"/>
    </xf>
    <xf numFmtId="0" fontId="0" fillId="0" borderId="25" xfId="0" applyFill="1" applyBorder="1" applyAlignment="1">
      <alignment horizontal="center" vertical="center"/>
    </xf>
    <xf numFmtId="0" fontId="0" fillId="0" borderId="14" xfId="0" applyFill="1" applyBorder="1" applyAlignment="1">
      <alignment horizontal="center" vertical="center"/>
    </xf>
    <xf numFmtId="0" fontId="0" fillId="0" borderId="13" xfId="0" applyFill="1" applyBorder="1" applyAlignment="1">
      <alignment horizontal="center" vertical="center"/>
    </xf>
    <xf numFmtId="0" fontId="0" fillId="0" borderId="20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8" borderId="1" xfId="0" applyFont="1" applyFill="1" applyBorder="1" applyAlignment="1">
      <alignment horizontal="center" vertical="center" wrapText="1"/>
    </xf>
    <xf numFmtId="0" fontId="0" fillId="6" borderId="7" xfId="0" applyFill="1" applyBorder="1" applyAlignment="1" applyProtection="1">
      <alignment horizontal="center"/>
      <protection hidden="1"/>
    </xf>
    <xf numFmtId="0" fontId="14" fillId="20" borderId="1" xfId="0" applyFont="1" applyFill="1" applyBorder="1" applyProtection="1">
      <protection hidden="1"/>
    </xf>
    <xf numFmtId="0" fontId="0" fillId="21" borderId="25" xfId="0" applyFill="1" applyBorder="1" applyAlignment="1">
      <alignment horizontal="center" vertical="center"/>
    </xf>
    <xf numFmtId="0" fontId="0" fillId="21" borderId="7" xfId="0" applyFill="1" applyBorder="1" applyAlignment="1">
      <alignment horizontal="center" vertical="center"/>
    </xf>
    <xf numFmtId="0" fontId="0" fillId="8" borderId="7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11" fillId="0" borderId="0" xfId="0" applyFont="1"/>
    <xf numFmtId="0" fontId="11" fillId="0" borderId="1" xfId="0" applyFont="1" applyBorder="1" applyAlignment="1" applyProtection="1">
      <alignment horizontal="right"/>
      <protection hidden="1"/>
    </xf>
    <xf numFmtId="0" fontId="11" fillId="7" borderId="13" xfId="0" applyFont="1" applyFill="1" applyBorder="1" applyAlignment="1" applyProtection="1">
      <alignment horizontal="center"/>
      <protection locked="0"/>
    </xf>
    <xf numFmtId="0" fontId="11" fillId="0" borderId="16" xfId="0" applyFont="1" applyBorder="1" applyProtection="1">
      <protection hidden="1"/>
    </xf>
    <xf numFmtId="165" fontId="11" fillId="2" borderId="1" xfId="0" applyNumberFormat="1" applyFont="1" applyFill="1" applyBorder="1" applyAlignment="1" applyProtection="1">
      <alignment horizontal="center"/>
      <protection hidden="1"/>
    </xf>
    <xf numFmtId="0" fontId="11" fillId="0" borderId="16" xfId="0" applyFont="1" applyBorder="1" applyAlignment="1" applyProtection="1">
      <alignment horizontal="center"/>
      <protection hidden="1"/>
    </xf>
    <xf numFmtId="0" fontId="11" fillId="0" borderId="18" xfId="0" applyFont="1" applyBorder="1" applyAlignment="1" applyProtection="1">
      <alignment horizontal="right"/>
      <protection hidden="1"/>
    </xf>
    <xf numFmtId="166" fontId="11" fillId="2" borderId="18" xfId="1" applyNumberFormat="1" applyFont="1" applyFill="1" applyBorder="1" applyAlignment="1" applyProtection="1">
      <alignment horizontal="center"/>
      <protection hidden="1"/>
    </xf>
    <xf numFmtId="0" fontId="11" fillId="0" borderId="3" xfId="0" applyFont="1" applyBorder="1" applyAlignment="1" applyProtection="1">
      <alignment horizontal="center" wrapText="1"/>
      <protection hidden="1"/>
    </xf>
    <xf numFmtId="2" fontId="0" fillId="2" borderId="18" xfId="0" applyNumberFormat="1" applyFill="1" applyBorder="1" applyAlignment="1" applyProtection="1">
      <alignment horizontal="center"/>
      <protection hidden="1"/>
    </xf>
    <xf numFmtId="0" fontId="0" fillId="0" borderId="0" xfId="0" applyFill="1" applyBorder="1" applyProtection="1"/>
    <xf numFmtId="0" fontId="18" fillId="0" borderId="0" xfId="0" applyFont="1" applyAlignment="1">
      <alignment wrapText="1"/>
    </xf>
    <xf numFmtId="0" fontId="18" fillId="22" borderId="28" xfId="0" applyFont="1" applyFill="1" applyBorder="1" applyAlignment="1">
      <alignment wrapText="1"/>
    </xf>
    <xf numFmtId="0" fontId="18" fillId="22" borderId="26" xfId="0" applyFont="1" applyFill="1" applyBorder="1" applyAlignment="1">
      <alignment wrapText="1"/>
    </xf>
    <xf numFmtId="0" fontId="0" fillId="0" borderId="0" xfId="0" applyBorder="1" applyAlignment="1">
      <alignment horizontal="center"/>
    </xf>
    <xf numFmtId="164" fontId="0" fillId="0" borderId="0" xfId="0" applyNumberFormat="1" applyFill="1" applyBorder="1" applyAlignment="1" applyProtection="1">
      <alignment horizontal="center"/>
    </xf>
    <xf numFmtId="164" fontId="0" fillId="22" borderId="1" xfId="0" applyNumberFormat="1" applyFill="1" applyBorder="1" applyAlignment="1" applyProtection="1">
      <alignment horizontal="center"/>
      <protection hidden="1"/>
    </xf>
    <xf numFmtId="0" fontId="0" fillId="0" borderId="6" xfId="0" applyFill="1" applyBorder="1" applyAlignment="1">
      <alignment horizontal="center"/>
    </xf>
    <xf numFmtId="0" fontId="0" fillId="0" borderId="0" xfId="0" applyAlignment="1">
      <alignment wrapText="1"/>
    </xf>
    <xf numFmtId="0" fontId="20" fillId="22" borderId="24" xfId="0" applyFont="1" applyFill="1" applyBorder="1" applyAlignment="1">
      <alignment horizontal="left" vertical="center" wrapText="1"/>
    </xf>
    <xf numFmtId="0" fontId="0" fillId="0" borderId="0" xfId="0" applyBorder="1"/>
    <xf numFmtId="0" fontId="0" fillId="0" borderId="0" xfId="0" applyFill="1" applyBorder="1" applyAlignment="1" applyProtection="1">
      <alignment horizontal="center"/>
    </xf>
    <xf numFmtId="0" fontId="1" fillId="0" borderId="0" xfId="0" applyFont="1" applyProtection="1">
      <protection locked="0"/>
    </xf>
    <xf numFmtId="0" fontId="1" fillId="0" borderId="0" xfId="0" applyFont="1" applyAlignment="1" applyProtection="1">
      <alignment horizontal="center"/>
      <protection locked="0"/>
    </xf>
    <xf numFmtId="0" fontId="0" fillId="26" borderId="7" xfId="0" applyFill="1" applyBorder="1" applyAlignment="1" applyProtection="1">
      <alignment horizontal="center"/>
      <protection locked="0" hidden="1"/>
    </xf>
    <xf numFmtId="0" fontId="0" fillId="0" borderId="0" xfId="0" applyBorder="1" applyAlignment="1">
      <alignment horizontal="center" vertical="center" wrapText="1"/>
    </xf>
    <xf numFmtId="0" fontId="0" fillId="3" borderId="1" xfId="0" applyFill="1" applyBorder="1" applyProtection="1">
      <protection locked="0"/>
    </xf>
    <xf numFmtId="0" fontId="0" fillId="2" borderId="1" xfId="0" applyFill="1" applyBorder="1" applyProtection="1">
      <protection hidden="1"/>
    </xf>
    <xf numFmtId="164" fontId="0" fillId="27" borderId="1" xfId="0" applyNumberFormat="1" applyFill="1" applyBorder="1" applyProtection="1">
      <protection hidden="1"/>
    </xf>
    <xf numFmtId="164" fontId="0" fillId="2" borderId="1" xfId="0" applyNumberFormat="1" applyFill="1" applyBorder="1" applyProtection="1">
      <protection hidden="1"/>
    </xf>
    <xf numFmtId="164" fontId="2" fillId="2" borderId="1" xfId="0" applyNumberFormat="1" applyFont="1" applyFill="1" applyBorder="1" applyProtection="1">
      <protection hidden="1"/>
    </xf>
    <xf numFmtId="0" fontId="1" fillId="5" borderId="1" xfId="0" applyFont="1" applyFill="1" applyBorder="1"/>
    <xf numFmtId="0" fontId="7" fillId="5" borderId="0" xfId="0" applyFont="1" applyFill="1" applyAlignment="1">
      <alignment horizontal="center"/>
    </xf>
    <xf numFmtId="0" fontId="1" fillId="5" borderId="30" xfId="0" applyFont="1" applyFill="1" applyBorder="1"/>
    <xf numFmtId="0" fontId="1" fillId="5" borderId="30" xfId="0" applyFont="1" applyFill="1" applyBorder="1" applyAlignment="1" applyProtection="1">
      <alignment horizontal="right"/>
      <protection hidden="1"/>
    </xf>
    <xf numFmtId="0" fontId="0" fillId="0" borderId="20" xfId="0" applyFill="1" applyBorder="1"/>
    <xf numFmtId="164" fontId="2" fillId="2" borderId="14" xfId="0" applyNumberFormat="1" applyFont="1" applyFill="1" applyBorder="1" applyProtection="1">
      <protection hidden="1"/>
    </xf>
    <xf numFmtId="0" fontId="0" fillId="0" borderId="0" xfId="0" applyProtection="1"/>
    <xf numFmtId="0" fontId="0" fillId="3" borderId="7" xfId="0" applyFill="1" applyBorder="1"/>
    <xf numFmtId="0" fontId="3" fillId="0" borderId="0" xfId="0" applyFont="1"/>
    <xf numFmtId="0" fontId="7" fillId="2" borderId="7" xfId="0" applyFont="1" applyFill="1" applyBorder="1"/>
    <xf numFmtId="0" fontId="1" fillId="0" borderId="0" xfId="0" applyFont="1" applyAlignment="1">
      <alignment horizontal="center"/>
    </xf>
    <xf numFmtId="0" fontId="1" fillId="0" borderId="0" xfId="0" applyFont="1"/>
    <xf numFmtId="0" fontId="7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/>
    <xf numFmtId="0" fontId="1" fillId="0" borderId="0" xfId="0" applyFont="1" applyFill="1" applyBorder="1" applyAlignment="1" applyProtection="1">
      <alignment horizontal="right"/>
      <protection hidden="1"/>
    </xf>
    <xf numFmtId="49" fontId="1" fillId="0" borderId="0" xfId="0" applyNumberFormat="1" applyFont="1" applyFill="1" applyBorder="1"/>
    <xf numFmtId="164" fontId="1" fillId="0" borderId="0" xfId="0" applyNumberFormat="1" applyFont="1"/>
    <xf numFmtId="0" fontId="7" fillId="0" borderId="0" xfId="0" applyFont="1"/>
    <xf numFmtId="164" fontId="0" fillId="3" borderId="13" xfId="0" applyNumberFormat="1" applyFill="1" applyBorder="1" applyAlignment="1" applyProtection="1">
      <alignment horizontal="center"/>
      <protection locked="0"/>
    </xf>
    <xf numFmtId="0" fontId="0" fillId="3" borderId="13" xfId="0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hidden="1"/>
    </xf>
    <xf numFmtId="0" fontId="2" fillId="8" borderId="1" xfId="0" applyFont="1" applyFill="1" applyBorder="1" applyAlignment="1" applyProtection="1">
      <alignment horizontal="center"/>
      <protection hidden="1"/>
    </xf>
    <xf numFmtId="0" fontId="1" fillId="0" borderId="0" xfId="0" applyFont="1" applyBorder="1" applyAlignment="1" applyProtection="1">
      <alignment horizontal="center"/>
      <protection hidden="1"/>
    </xf>
    <xf numFmtId="0" fontId="2" fillId="0" borderId="12" xfId="0" applyFont="1" applyBorder="1" applyAlignment="1" applyProtection="1">
      <alignment horizontal="center" vertical="center"/>
      <protection hidden="1"/>
    </xf>
    <xf numFmtId="0" fontId="2" fillId="0" borderId="15" xfId="0" applyFont="1" applyBorder="1" applyAlignment="1" applyProtection="1">
      <alignment horizontal="center" vertical="center"/>
      <protection hidden="1"/>
    </xf>
    <xf numFmtId="0" fontId="2" fillId="0" borderId="17" xfId="0" applyFont="1" applyBorder="1" applyAlignment="1" applyProtection="1">
      <alignment horizontal="center" vertical="center"/>
      <protection hidden="1"/>
    </xf>
    <xf numFmtId="0" fontId="2" fillId="9" borderId="4" xfId="0" applyFont="1" applyFill="1" applyBorder="1" applyAlignment="1">
      <alignment horizontal="center"/>
    </xf>
    <xf numFmtId="0" fontId="2" fillId="9" borderId="29" xfId="0" applyFont="1" applyFill="1" applyBorder="1" applyAlignment="1">
      <alignment horizontal="center"/>
    </xf>
    <xf numFmtId="0" fontId="2" fillId="9" borderId="6" xfId="0" applyFont="1" applyFill="1" applyBorder="1" applyAlignment="1">
      <alignment horizontal="center"/>
    </xf>
    <xf numFmtId="0" fontId="13" fillId="9" borderId="24" xfId="0" applyFont="1" applyFill="1" applyBorder="1" applyAlignment="1">
      <alignment horizontal="center" vertical="center" textRotation="90"/>
    </xf>
    <xf numFmtId="0" fontId="2" fillId="9" borderId="26" xfId="0" applyFont="1" applyFill="1" applyBorder="1" applyAlignment="1">
      <alignment horizontal="center" vertical="center" textRotation="90"/>
    </xf>
    <xf numFmtId="0" fontId="2" fillId="9" borderId="28" xfId="0" applyFont="1" applyFill="1" applyBorder="1" applyAlignment="1">
      <alignment horizontal="center" vertical="center" textRotation="90"/>
    </xf>
    <xf numFmtId="0" fontId="2" fillId="8" borderId="31" xfId="0" applyFont="1" applyFill="1" applyBorder="1" applyAlignment="1">
      <alignment horizontal="center" vertical="center"/>
    </xf>
    <xf numFmtId="0" fontId="2" fillId="8" borderId="15" xfId="0" applyFont="1" applyFill="1" applyBorder="1" applyAlignment="1">
      <alignment horizontal="center" vertical="center"/>
    </xf>
    <xf numFmtId="0" fontId="2" fillId="8" borderId="32" xfId="0" applyFont="1" applyFill="1" applyBorder="1" applyAlignment="1">
      <alignment horizontal="center" vertical="center"/>
    </xf>
    <xf numFmtId="0" fontId="2" fillId="3" borderId="31" xfId="0" applyFont="1" applyFill="1" applyBorder="1" applyAlignment="1">
      <alignment horizontal="center" vertical="center"/>
    </xf>
    <xf numFmtId="0" fontId="2" fillId="3" borderId="15" xfId="0" applyFont="1" applyFill="1" applyBorder="1" applyAlignment="1">
      <alignment horizontal="center" vertical="center"/>
    </xf>
    <xf numFmtId="0" fontId="2" fillId="3" borderId="32" xfId="0" applyFont="1" applyFill="1" applyBorder="1" applyAlignment="1">
      <alignment horizontal="center" vertical="center"/>
    </xf>
    <xf numFmtId="0" fontId="2" fillId="2" borderId="31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0" fillId="9" borderId="1" xfId="0" applyFill="1" applyBorder="1" applyAlignment="1">
      <alignment horizontal="center"/>
    </xf>
    <xf numFmtId="0" fontId="1" fillId="0" borderId="27" xfId="0" applyFont="1" applyBorder="1" applyAlignment="1">
      <alignment horizontal="center" vertical="center"/>
    </xf>
    <xf numFmtId="0" fontId="0" fillId="9" borderId="24" xfId="0" applyFill="1" applyBorder="1" applyAlignment="1">
      <alignment horizontal="center" vertical="center" textRotation="90" wrapText="1"/>
    </xf>
    <xf numFmtId="0" fontId="0" fillId="9" borderId="26" xfId="0" applyFill="1" applyBorder="1" applyAlignment="1">
      <alignment horizontal="center" vertical="center" textRotation="90" wrapText="1"/>
    </xf>
    <xf numFmtId="0" fontId="0" fillId="9" borderId="28" xfId="0" applyFill="1" applyBorder="1" applyAlignment="1">
      <alignment horizontal="center" vertical="center" textRotation="90" wrapText="1"/>
    </xf>
    <xf numFmtId="2" fontId="0" fillId="0" borderId="5" xfId="0" applyNumberFormat="1" applyFill="1" applyBorder="1" applyAlignment="1">
      <alignment horizontal="center"/>
    </xf>
    <xf numFmtId="2" fontId="0" fillId="0" borderId="22" xfId="0" applyNumberFormat="1" applyFill="1" applyBorder="1" applyAlignment="1">
      <alignment horizontal="center"/>
    </xf>
    <xf numFmtId="2" fontId="0" fillId="0" borderId="23" xfId="0" applyNumberFormat="1" applyFill="1" applyBorder="1" applyAlignment="1">
      <alignment horizontal="center"/>
    </xf>
    <xf numFmtId="0" fontId="0" fillId="9" borderId="5" xfId="0" applyFill="1" applyBorder="1" applyAlignment="1">
      <alignment horizontal="center" vertical="center" wrapText="1"/>
    </xf>
    <xf numFmtId="0" fontId="0" fillId="9" borderId="22" xfId="0" applyFill="1" applyBorder="1" applyAlignment="1">
      <alignment horizontal="center" vertical="center" wrapText="1"/>
    </xf>
    <xf numFmtId="0" fontId="0" fillId="9" borderId="23" xfId="0" applyFill="1" applyBorder="1" applyAlignment="1">
      <alignment horizontal="center" vertical="center" wrapText="1"/>
    </xf>
    <xf numFmtId="0" fontId="1" fillId="0" borderId="33" xfId="0" applyFont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0" borderId="29" xfId="0" applyBorder="1"/>
    <xf numFmtId="0" fontId="0" fillId="3" borderId="1" xfId="0" applyFill="1" applyBorder="1" applyAlignment="1">
      <alignment horizontal="center"/>
    </xf>
    <xf numFmtId="0" fontId="11" fillId="0" borderId="20" xfId="0" applyFont="1" applyBorder="1" applyAlignment="1" applyProtection="1">
      <alignment horizontal="center"/>
      <protection hidden="1"/>
    </xf>
    <xf numFmtId="0" fontId="11" fillId="0" borderId="13" xfId="0" applyFont="1" applyBorder="1" applyAlignment="1" applyProtection="1">
      <alignment horizontal="center"/>
      <protection hidden="1"/>
    </xf>
    <xf numFmtId="0" fontId="11" fillId="0" borderId="14" xfId="0" applyFont="1" applyBorder="1" applyAlignment="1" applyProtection="1">
      <alignment horizontal="center"/>
      <protection hidden="1"/>
    </xf>
    <xf numFmtId="0" fontId="17" fillId="0" borderId="21" xfId="0" applyFont="1" applyBorder="1" applyAlignment="1" applyProtection="1">
      <alignment horizontal="center" vertical="center"/>
      <protection hidden="1"/>
    </xf>
    <xf numFmtId="0" fontId="17" fillId="0" borderId="2" xfId="0" applyFont="1" applyBorder="1" applyAlignment="1" applyProtection="1">
      <alignment horizontal="center" vertical="center"/>
      <protection hidden="1"/>
    </xf>
    <xf numFmtId="0" fontId="0" fillId="0" borderId="37" xfId="0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0" fontId="0" fillId="0" borderId="36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35" xfId="0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22" borderId="24" xfId="0" applyFill="1" applyBorder="1" applyAlignment="1">
      <alignment horizontal="left" vertical="top" wrapText="1"/>
    </xf>
    <xf numFmtId="0" fontId="0" fillId="22" borderId="26" xfId="0" applyFill="1" applyBorder="1" applyAlignment="1">
      <alignment horizontal="left" vertical="top"/>
    </xf>
    <xf numFmtId="0" fontId="0" fillId="22" borderId="28" xfId="0" applyFill="1" applyBorder="1" applyAlignment="1">
      <alignment horizontal="left" vertical="top"/>
    </xf>
    <xf numFmtId="0" fontId="0" fillId="25" borderId="24" xfId="0" applyFill="1" applyBorder="1" applyAlignment="1">
      <alignment horizontal="center" vertical="center"/>
    </xf>
    <xf numFmtId="0" fontId="0" fillId="25" borderId="26" xfId="0" applyFont="1" applyFill="1" applyBorder="1" applyAlignment="1">
      <alignment horizontal="center" vertical="center"/>
    </xf>
    <xf numFmtId="0" fontId="0" fillId="25" borderId="28" xfId="0" applyFont="1" applyFill="1" applyBorder="1" applyAlignment="1">
      <alignment horizontal="center" vertical="center"/>
    </xf>
    <xf numFmtId="0" fontId="0" fillId="24" borderId="24" xfId="0" applyFill="1" applyBorder="1" applyAlignment="1">
      <alignment horizontal="center" vertical="center"/>
    </xf>
    <xf numFmtId="0" fontId="0" fillId="24" borderId="26" xfId="0" applyFont="1" applyFill="1" applyBorder="1" applyAlignment="1">
      <alignment horizontal="center" vertical="center"/>
    </xf>
    <xf numFmtId="0" fontId="0" fillId="24" borderId="28" xfId="0" applyFont="1" applyFill="1" applyBorder="1" applyAlignment="1">
      <alignment horizontal="center" vertical="center"/>
    </xf>
    <xf numFmtId="0" fontId="0" fillId="23" borderId="26" xfId="0" applyFill="1" applyBorder="1" applyAlignment="1">
      <alignment horizontal="center" vertical="center"/>
    </xf>
    <xf numFmtId="0" fontId="0" fillId="23" borderId="26" xfId="0" applyFont="1" applyFill="1" applyBorder="1" applyAlignment="1">
      <alignment horizontal="center" vertical="center"/>
    </xf>
    <xf numFmtId="0" fontId="0" fillId="23" borderId="28" xfId="0" applyFont="1" applyFill="1" applyBorder="1" applyAlignment="1">
      <alignment horizontal="center" vertical="center"/>
    </xf>
    <xf numFmtId="0" fontId="2" fillId="2" borderId="1" xfId="0" applyFont="1" applyFill="1" applyBorder="1" applyAlignment="1" applyProtection="1">
      <alignment horizontal="center"/>
      <protection hidden="1"/>
    </xf>
  </cellXfs>
  <cellStyles count="2">
    <cellStyle name="Normal" xfId="0" builtinId="0"/>
    <cellStyle name="Porcentagem" xfId="1" builtinId="5"/>
  </cellStyles>
  <dxfs count="30"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ont>
        <color auto="1"/>
      </font>
      <fill>
        <patternFill>
          <fgColor rgb="FF92D050"/>
          <bgColor rgb="FF92D050"/>
        </patternFill>
      </fill>
    </dxf>
    <dxf>
      <font>
        <color auto="1"/>
      </font>
      <fill>
        <patternFill>
          <fgColor rgb="FF92D050"/>
          <bgColor rgb="FFFFFF00"/>
        </patternFill>
      </fill>
    </dxf>
    <dxf>
      <fill>
        <patternFill patternType="none">
          <bgColor auto="1"/>
        </patternFill>
      </fill>
    </dxf>
    <dxf>
      <font>
        <color auto="1"/>
      </font>
      <fill>
        <patternFill>
          <fgColor rgb="FF92D050"/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color auto="1"/>
      </font>
      <fill>
        <patternFill>
          <fgColor rgb="FF92D050"/>
          <bgColor rgb="FFFF0000"/>
        </patternFill>
      </fill>
    </dxf>
    <dxf>
      <font>
        <color auto="1"/>
      </font>
      <fill>
        <patternFill>
          <fgColor rgb="FF92D050"/>
          <bgColor rgb="FFFFFF00"/>
        </patternFill>
      </fill>
    </dxf>
    <dxf>
      <fill>
        <patternFill patternType="none">
          <bgColor auto="1"/>
        </patternFill>
      </fill>
    </dxf>
    <dxf>
      <font>
        <color auto="1"/>
      </font>
      <fill>
        <patternFill>
          <fgColor rgb="FF92D050"/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theme="6" tint="0.59996337778862885"/>
        </patternFill>
      </fill>
    </dxf>
    <dxf>
      <fill>
        <patternFill>
          <bgColor rgb="FFFF0000"/>
        </patternFill>
      </fill>
    </dxf>
    <dxf>
      <fill>
        <patternFill>
          <fgColor rgb="FFFF9679"/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</dxfs>
  <tableStyles count="0" defaultTableStyle="TableStyleMedium9" defaultPivotStyle="PivotStyleLight16"/>
  <colors>
    <mruColors>
      <color rgb="FF7ABC32"/>
      <color rgb="FFD3D3D3"/>
      <color rgb="FFA5C25E"/>
      <color rgb="FF588824"/>
      <color rgb="FFFF0000"/>
      <color rgb="FFFF8181"/>
      <color rgb="FFFF967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BR"/>
  <c:chart>
    <c:plotArea>
      <c:layout>
        <c:manualLayout>
          <c:layoutTarget val="inner"/>
          <c:xMode val="edge"/>
          <c:yMode val="edge"/>
          <c:x val="7.0244992694417155E-2"/>
          <c:y val="9.2901163321156527E-2"/>
          <c:w val="0.92055557312364067"/>
          <c:h val="0.82125287306814365"/>
        </c:manualLayout>
      </c:layout>
      <c:scatterChart>
        <c:scatterStyle val="lineMarker"/>
        <c:ser>
          <c:idx val="0"/>
          <c:order val="0"/>
          <c:tx>
            <c:v>Tag</c:v>
          </c:tx>
          <c:spPr>
            <a:ln w="28575">
              <a:solidFill>
                <a:srgbClr val="4F81BD"/>
              </a:solidFill>
              <a:prstDash val="sysDot"/>
            </a:ln>
          </c:spPr>
          <c:dLbls>
            <c:dLbl>
              <c:idx val="0"/>
              <c:layout/>
              <c:numFmt formatCode="#,##0.0" sourceLinked="0"/>
              <c:spPr>
                <a:ln w="12700"/>
              </c:spPr>
              <c:txPr>
                <a:bodyPr/>
                <a:lstStyle/>
                <a:p>
                  <a:pPr>
                    <a:defRPr sz="1000" baseline="0"/>
                  </a:pPr>
                  <a:endParaRPr lang="pt-BR"/>
                </a:p>
              </c:txPr>
              <c:dLblPos val="r"/>
              <c:showVal val="1"/>
            </c:dLbl>
            <c:numFmt formatCode="#,##0.0" sourceLinked="0"/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1000" baseline="0"/>
                </a:pPr>
                <a:endParaRPr lang="pt-BR"/>
              </a:p>
            </c:txPr>
            <c:dLblPos val="r"/>
            <c:showVal val="1"/>
            <c:separator>, </c:separator>
            <c:extLst xmlns:c16r2="http://schemas.microsoft.com/office/drawing/2015/06/chart"/>
          </c:dLbls>
          <c:xVal>
            <c:numRef>
              <c:f>('Cálculo dos Links'!$B$9,'Cálculo dos Links'!$B$23)</c:f>
              <c:numCache>
                <c:formatCode>General</c:formatCode>
                <c:ptCount val="2"/>
                <c:pt idx="0" formatCode="0.0">
                  <c:v>10</c:v>
                </c:pt>
                <c:pt idx="1">
                  <c:v>10</c:v>
                </c:pt>
              </c:numCache>
            </c:numRef>
          </c:xVal>
          <c:yVal>
            <c:numRef>
              <c:f>('Cálculo dos Links'!$B$12,'Cálculo dos Links'!$B$21)</c:f>
              <c:numCache>
                <c:formatCode>0.0</c:formatCode>
                <c:ptCount val="2"/>
                <c:pt idx="0">
                  <c:v>-15.678421881328973</c:v>
                </c:pt>
                <c:pt idx="1">
                  <c:v>-25.378421881328975</c:v>
                </c:pt>
              </c:numCache>
            </c:numRef>
          </c:yVal>
          <c:extLst xmlns:c16r2="http://schemas.microsoft.com/office/drawing/2015/06/chart"/>
        </c:ser>
        <c:ser>
          <c:idx val="1"/>
          <c:order val="1"/>
          <c:tx>
            <c:v>Reader</c:v>
          </c:tx>
          <c:dLbls>
            <c:dLbl>
              <c:idx val="0"/>
              <c:delete val="1"/>
              <c:extLst xmlns:c16r2="http://schemas.microsoft.com/office/drawing/2015/06/chart"/>
            </c:dLbl>
            <c:spPr>
              <a:noFill/>
              <a:ln>
                <a:noFill/>
              </a:ln>
              <a:effectLst/>
            </c:spPr>
            <c:showVal val="1"/>
            <c:extLst xmlns:c16r2="http://schemas.microsoft.com/office/drawing/2015/06/chart"/>
          </c:dLbls>
          <c:xVal>
            <c:numRef>
              <c:f>'Cálculo dos Links'!$B$32</c:f>
              <c:numCache>
                <c:formatCode>General</c:formatCode>
                <c:ptCount val="1"/>
                <c:pt idx="0">
                  <c:v>0</c:v>
                </c:pt>
              </c:numCache>
            </c:numRef>
          </c:xVal>
          <c:yVal>
            <c:numRef>
              <c:f>'Cálculo dos Links'!$B$29</c:f>
              <c:numCache>
                <c:formatCode>General</c:formatCode>
                <c:ptCount val="1"/>
                <c:pt idx="0">
                  <c:v>-82</c:v>
                </c:pt>
              </c:numCache>
            </c:numRef>
          </c:yVal>
          <c:extLst xmlns:c16r2="http://schemas.microsoft.com/office/drawing/2015/06/chart"/>
        </c:ser>
        <c:ser>
          <c:idx val="2"/>
          <c:order val="2"/>
          <c:tx>
            <c:v>Margem REV</c:v>
          </c:tx>
          <c:spPr>
            <a:ln w="38100">
              <a:solidFill>
                <a:schemeClr val="tx2"/>
              </a:solidFill>
              <a:prstDash val="sysDash"/>
            </a:ln>
          </c:spPr>
          <c:marker>
            <c:symbol val="x"/>
            <c:size val="10"/>
          </c:marker>
          <c:xVal>
            <c:numRef>
              <c:f>('Cálculo dos Links'!$B$33,'Cálculo dos Links'!$B$33)</c:f>
              <c:numCache>
                <c:formatCode>General</c:formatCode>
                <c:ptCount val="2"/>
                <c:pt idx="0">
                  <c:v>3</c:v>
                </c:pt>
                <c:pt idx="1">
                  <c:v>3</c:v>
                </c:pt>
              </c:numCache>
            </c:numRef>
          </c:xVal>
          <c:yVal>
            <c:numRef>
              <c:f>('Cálculo dos Links'!$B$28,'Cálculo dos Links'!$B$29)</c:f>
              <c:numCache>
                <c:formatCode>General</c:formatCode>
                <c:ptCount val="2"/>
                <c:pt idx="0" formatCode="0.0">
                  <c:v>-71.056843762657948</c:v>
                </c:pt>
                <c:pt idx="1">
                  <c:v>-82</c:v>
                </c:pt>
              </c:numCache>
            </c:numRef>
          </c:yVal>
          <c:extLst xmlns:c16r2="http://schemas.microsoft.com/office/drawing/2015/06/chart"/>
        </c:ser>
        <c:ser>
          <c:idx val="3"/>
          <c:order val="3"/>
          <c:tx>
            <c:v>Tag Threshold</c:v>
          </c:tx>
          <c:spPr>
            <a:ln>
              <a:solidFill>
                <a:srgbClr val="FF0000"/>
              </a:solidFill>
              <a:prstDash val="lgDashDotDot"/>
            </a:ln>
          </c:spPr>
          <c:dPt>
            <c:idx val="1"/>
            <c:marker>
              <c:symbol val="none"/>
            </c:marker>
            <c:extLst xmlns:c16r2="http://schemas.microsoft.com/office/drawing/2015/06/chart"/>
          </c:dPt>
          <c:dLbls>
            <c:dLbl>
              <c:idx val="0"/>
              <c:layout>
                <c:manualLayout>
                  <c:x val="-8.4259568845900065E-2"/>
                  <c:y val="-2.0099900727065637E-2"/>
                </c:manualLayout>
              </c:layout>
              <c:dLblPos val="l"/>
              <c:showVal val="1"/>
              <c:showCatName val="1"/>
              <c:showSerName val="1"/>
              <c:separator> </c:separator>
            </c:dLbl>
            <c:dLbl>
              <c:idx val="1"/>
              <c:delete val="1"/>
              <c:extLst xmlns:c16r2="http://schemas.microsoft.com/office/drawing/2015/06/chart"/>
            </c:dLbl>
            <c:spPr>
              <a:noFill/>
              <a:ln>
                <a:noFill/>
              </a:ln>
              <a:effectLst/>
            </c:spPr>
            <c:showVal val="1"/>
            <c:extLst xmlns:c16r2="http://schemas.microsoft.com/office/drawing/2015/06/chart"/>
          </c:dLbls>
          <c:xVal>
            <c:numRef>
              <c:f>('Cálculo dos Links'!$B$9,'Cálculo dos Links'!$B$32)</c:f>
              <c:numCache>
                <c:formatCode>General</c:formatCode>
                <c:ptCount val="2"/>
                <c:pt idx="0" formatCode="0.0">
                  <c:v>10</c:v>
                </c:pt>
                <c:pt idx="1">
                  <c:v>0</c:v>
                </c:pt>
              </c:numCache>
            </c:numRef>
          </c:xVal>
          <c:yVal>
            <c:numRef>
              <c:f>('Cálculo dos Links'!$B$17,'Cálculo dos Links'!$B$17)</c:f>
              <c:numCache>
                <c:formatCode>General</c:formatCode>
                <c:ptCount val="2"/>
                <c:pt idx="0">
                  <c:v>-20.7</c:v>
                </c:pt>
                <c:pt idx="1">
                  <c:v>-20.7</c:v>
                </c:pt>
              </c:numCache>
            </c:numRef>
          </c:yVal>
          <c:extLst xmlns:c16r2="http://schemas.microsoft.com/office/drawing/2015/06/chart"/>
        </c:ser>
        <c:ser>
          <c:idx val="4"/>
          <c:order val="4"/>
          <c:tx>
            <c:v>Reta 1</c:v>
          </c:tx>
          <c:spPr>
            <a:ln w="12700">
              <a:prstDash val="lgDashDotDot"/>
            </a:ln>
          </c:spPr>
          <c:marker>
            <c:symbol val="none"/>
          </c:marker>
          <c:xVal>
            <c:numRef>
              <c:f>('Cálculo dos Links'!$B$32,'Cálculo dos Links'!$B$33)</c:f>
              <c:numCache>
                <c:formatCode>General</c:formatCode>
                <c:ptCount val="2"/>
                <c:pt idx="0">
                  <c:v>0</c:v>
                </c:pt>
                <c:pt idx="1">
                  <c:v>3</c:v>
                </c:pt>
              </c:numCache>
            </c:numRef>
          </c:xVal>
          <c:yVal>
            <c:numRef>
              <c:f>('Cálculo dos Links'!$B$28,'Cálculo dos Links'!$B$28)</c:f>
              <c:numCache>
                <c:formatCode>0.0</c:formatCode>
                <c:ptCount val="2"/>
                <c:pt idx="0">
                  <c:v>-71.056843762657948</c:v>
                </c:pt>
                <c:pt idx="1">
                  <c:v>-71.056843762657948</c:v>
                </c:pt>
              </c:numCache>
            </c:numRef>
          </c:yVal>
          <c:extLst xmlns:c16r2="http://schemas.microsoft.com/office/drawing/2015/06/chart"/>
        </c:ser>
        <c:ser>
          <c:idx val="5"/>
          <c:order val="5"/>
          <c:tx>
            <c:v>Reta 2</c:v>
          </c:tx>
          <c:spPr>
            <a:ln w="12700">
              <a:solidFill>
                <a:srgbClr val="FF0000"/>
              </a:solidFill>
              <a:prstDash val="lgDashDotDot"/>
            </a:ln>
          </c:spPr>
          <c:marker>
            <c:symbol val="none"/>
          </c:marker>
          <c:dPt>
            <c:idx val="1"/>
            <c:spPr>
              <a:ln w="25400">
                <a:solidFill>
                  <a:srgbClr val="FF0000"/>
                </a:solidFill>
                <a:prstDash val="lgDashDotDot"/>
              </a:ln>
            </c:spPr>
            <c:extLst xmlns:c16r2="http://schemas.microsoft.com/office/drawing/2015/06/chart"/>
          </c:dPt>
          <c:dLbls>
            <c:dLbl>
              <c:idx val="1"/>
              <c:layout/>
              <c:showVal val="1"/>
              <c:extLst xmlns:c16r2="http://schemas.microsoft.com/office/drawing/2015/06/chart"/>
            </c:dLbl>
            <c:delete val="1"/>
            <c:extLst xmlns:c16r2="http://schemas.microsoft.com/office/drawing/2015/06/chart"/>
          </c:dLbls>
          <c:xVal>
            <c:numRef>
              <c:f>('Cálculo dos Links'!$B$32,'Cálculo dos Links'!$B$9)</c:f>
              <c:numCache>
                <c:formatCode>0.0</c:formatCode>
                <c:ptCount val="2"/>
                <c:pt idx="0" formatCode="General">
                  <c:v>0</c:v>
                </c:pt>
                <c:pt idx="1">
                  <c:v>10</c:v>
                </c:pt>
              </c:numCache>
            </c:numRef>
          </c:xVal>
          <c:yVal>
            <c:numRef>
              <c:f>('Cálculo dos Links'!$B$29,'Cálculo dos Links'!$B$29)</c:f>
              <c:numCache>
                <c:formatCode>General</c:formatCode>
                <c:ptCount val="2"/>
                <c:pt idx="0">
                  <c:v>-82</c:v>
                </c:pt>
                <c:pt idx="1">
                  <c:v>-82</c:v>
                </c:pt>
              </c:numCache>
            </c:numRef>
          </c:yVal>
          <c:extLst xmlns:c16r2="http://schemas.microsoft.com/office/drawing/2015/06/chart"/>
        </c:ser>
        <c:ser>
          <c:idx val="6"/>
          <c:order val="6"/>
          <c:tx>
            <c:strRef>
              <c:f>'Cálculo dos Links'!$H$43</c:f>
              <c:strCache>
                <c:ptCount val="1"/>
                <c:pt idx="0">
                  <c:v>10</c:v>
                </c:pt>
              </c:strCache>
            </c:strRef>
          </c:tx>
          <c:marker>
            <c:symbol val="none"/>
          </c:marker>
          <c:dLbls>
            <c:spPr>
              <a:noFill/>
            </c:spPr>
            <c:dLblPos val="b"/>
            <c:showSerName val="1"/>
            <c:extLst xmlns:c16r2="http://schemas.microsoft.com/office/drawing/2015/06/chart"/>
          </c:dLbls>
          <c:xVal>
            <c:numRef>
              <c:f>'Cálculo dos Links'!$H$43</c:f>
              <c:numCache>
                <c:formatCode>General</c:formatCode>
                <c:ptCount val="1"/>
                <c:pt idx="0">
                  <c:v>10</c:v>
                </c:pt>
              </c:numCache>
            </c:numRef>
          </c:xVal>
          <c:yVal>
            <c:numRef>
              <c:f>'Cálculo dos Links'!$D$43</c:f>
              <c:numCache>
                <c:formatCode>General</c:formatCode>
                <c:ptCount val="1"/>
                <c:pt idx="0">
                  <c:v>-100</c:v>
                </c:pt>
              </c:numCache>
            </c:numRef>
          </c:yVal>
          <c:extLst xmlns:c16r2="http://schemas.microsoft.com/office/drawing/2015/06/chart"/>
        </c:ser>
        <c:ser>
          <c:idx val="7"/>
          <c:order val="7"/>
          <c:tx>
            <c:strRef>
              <c:f>'Cálculo dos Links'!$H$44</c:f>
              <c:strCache>
                <c:ptCount val="1"/>
                <c:pt idx="0">
                  <c:v>9</c:v>
                </c:pt>
              </c:strCache>
            </c:strRef>
          </c:tx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dLblPos val="b"/>
            <c:showSerName val="1"/>
            <c:extLst xmlns:c16r2="http://schemas.microsoft.com/office/drawing/2015/06/chart"/>
          </c:dLbls>
          <c:xVal>
            <c:numRef>
              <c:f>'Cálculo dos Links'!$B$44</c:f>
              <c:numCache>
                <c:formatCode>General</c:formatCode>
                <c:ptCount val="1"/>
                <c:pt idx="0">
                  <c:v>9</c:v>
                </c:pt>
              </c:numCache>
            </c:numRef>
          </c:xVal>
          <c:yVal>
            <c:numRef>
              <c:f>'Cálculo dos Links'!$D$44</c:f>
              <c:numCache>
                <c:formatCode>General</c:formatCode>
                <c:ptCount val="1"/>
                <c:pt idx="0">
                  <c:v>-100</c:v>
                </c:pt>
              </c:numCache>
            </c:numRef>
          </c:yVal>
          <c:extLst xmlns:c16r2="http://schemas.microsoft.com/office/drawing/2015/06/chart"/>
        </c:ser>
        <c:ser>
          <c:idx val="8"/>
          <c:order val="8"/>
          <c:tx>
            <c:strRef>
              <c:f>'Cálculo dos Links'!$H$45</c:f>
              <c:strCache>
                <c:ptCount val="1"/>
                <c:pt idx="0">
                  <c:v>8</c:v>
                </c:pt>
              </c:strCache>
            </c:strRef>
          </c:tx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dLblPos val="b"/>
            <c:showSerName val="1"/>
            <c:extLst xmlns:c16r2="http://schemas.microsoft.com/office/drawing/2015/06/chart"/>
          </c:dLbls>
          <c:xVal>
            <c:numRef>
              <c:f>'Cálculo dos Links'!$B$45</c:f>
              <c:numCache>
                <c:formatCode>General</c:formatCode>
                <c:ptCount val="1"/>
                <c:pt idx="0">
                  <c:v>8</c:v>
                </c:pt>
              </c:numCache>
            </c:numRef>
          </c:xVal>
          <c:yVal>
            <c:numRef>
              <c:f>'Cálculo dos Links'!$D$45</c:f>
              <c:numCache>
                <c:formatCode>General</c:formatCode>
                <c:ptCount val="1"/>
                <c:pt idx="0">
                  <c:v>-100</c:v>
                </c:pt>
              </c:numCache>
            </c:numRef>
          </c:yVal>
          <c:extLst xmlns:c16r2="http://schemas.microsoft.com/office/drawing/2015/06/chart"/>
        </c:ser>
        <c:ser>
          <c:idx val="9"/>
          <c:order val="9"/>
          <c:tx>
            <c:strRef>
              <c:f>'Cálculo dos Links'!$H$46</c:f>
              <c:strCache>
                <c:ptCount val="1"/>
                <c:pt idx="0">
                  <c:v>7</c:v>
                </c:pt>
              </c:strCache>
            </c:strRef>
          </c:tx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dLblPos val="b"/>
            <c:showSerName val="1"/>
            <c:extLst xmlns:c16r2="http://schemas.microsoft.com/office/drawing/2015/06/chart"/>
          </c:dLbls>
          <c:xVal>
            <c:numRef>
              <c:f>'Cálculo dos Links'!$B$46</c:f>
              <c:numCache>
                <c:formatCode>General</c:formatCode>
                <c:ptCount val="1"/>
                <c:pt idx="0">
                  <c:v>7</c:v>
                </c:pt>
              </c:numCache>
            </c:numRef>
          </c:xVal>
          <c:yVal>
            <c:numRef>
              <c:f>'Cálculo dos Links'!$D$46</c:f>
              <c:numCache>
                <c:formatCode>General</c:formatCode>
                <c:ptCount val="1"/>
                <c:pt idx="0">
                  <c:v>-100</c:v>
                </c:pt>
              </c:numCache>
            </c:numRef>
          </c:yVal>
          <c:extLst xmlns:c16r2="http://schemas.microsoft.com/office/drawing/2015/06/chart"/>
        </c:ser>
        <c:ser>
          <c:idx val="10"/>
          <c:order val="10"/>
          <c:tx>
            <c:strRef>
              <c:f>'Cálculo dos Links'!$H$47</c:f>
              <c:strCache>
                <c:ptCount val="1"/>
                <c:pt idx="0">
                  <c:v>6</c:v>
                </c:pt>
              </c:strCache>
            </c:strRef>
          </c:tx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dLblPos val="b"/>
            <c:showSerName val="1"/>
            <c:extLst xmlns:c16r2="http://schemas.microsoft.com/office/drawing/2015/06/chart"/>
          </c:dLbls>
          <c:xVal>
            <c:numRef>
              <c:f>'Cálculo dos Links'!$B$47</c:f>
              <c:numCache>
                <c:formatCode>General</c:formatCode>
                <c:ptCount val="1"/>
                <c:pt idx="0">
                  <c:v>6</c:v>
                </c:pt>
              </c:numCache>
            </c:numRef>
          </c:xVal>
          <c:yVal>
            <c:numRef>
              <c:f>'Cálculo dos Links'!$D$47</c:f>
              <c:numCache>
                <c:formatCode>General</c:formatCode>
                <c:ptCount val="1"/>
                <c:pt idx="0">
                  <c:v>-100</c:v>
                </c:pt>
              </c:numCache>
            </c:numRef>
          </c:yVal>
          <c:extLst xmlns:c16r2="http://schemas.microsoft.com/office/drawing/2015/06/chart"/>
        </c:ser>
        <c:ser>
          <c:idx val="11"/>
          <c:order val="11"/>
          <c:tx>
            <c:strRef>
              <c:f>'Cálculo dos Links'!$H$48</c:f>
              <c:strCache>
                <c:ptCount val="1"/>
                <c:pt idx="0">
                  <c:v>5</c:v>
                </c:pt>
              </c:strCache>
            </c:strRef>
          </c:tx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dLblPos val="b"/>
            <c:showSerName val="1"/>
            <c:extLst xmlns:c16r2="http://schemas.microsoft.com/office/drawing/2015/06/chart"/>
          </c:dLbls>
          <c:xVal>
            <c:numRef>
              <c:f>'Cálculo dos Links'!$B$48</c:f>
              <c:numCache>
                <c:formatCode>General</c:formatCode>
                <c:ptCount val="1"/>
                <c:pt idx="0">
                  <c:v>5</c:v>
                </c:pt>
              </c:numCache>
            </c:numRef>
          </c:xVal>
          <c:yVal>
            <c:numRef>
              <c:f>'Cálculo dos Links'!$D$48</c:f>
              <c:numCache>
                <c:formatCode>General</c:formatCode>
                <c:ptCount val="1"/>
                <c:pt idx="0">
                  <c:v>-100</c:v>
                </c:pt>
              </c:numCache>
            </c:numRef>
          </c:yVal>
          <c:extLst xmlns:c16r2="http://schemas.microsoft.com/office/drawing/2015/06/chart"/>
        </c:ser>
        <c:ser>
          <c:idx val="12"/>
          <c:order val="12"/>
          <c:tx>
            <c:strRef>
              <c:f>'Cálculo dos Links'!$H$49</c:f>
              <c:strCache>
                <c:ptCount val="1"/>
                <c:pt idx="0">
                  <c:v>4</c:v>
                </c:pt>
              </c:strCache>
            </c:strRef>
          </c:tx>
          <c:marker>
            <c:symbol val="none"/>
          </c:marker>
          <c:xVal>
            <c:numRef>
              <c:f>'Cálculo dos Links'!$B$49</c:f>
              <c:numCache>
                <c:formatCode>General</c:formatCode>
                <c:ptCount val="1"/>
                <c:pt idx="0">
                  <c:v>4</c:v>
                </c:pt>
              </c:numCache>
            </c:numRef>
          </c:xVal>
          <c:yVal>
            <c:numRef>
              <c:f>'Cálculo dos Links'!$D$49</c:f>
              <c:numCache>
                <c:formatCode>General</c:formatCode>
                <c:ptCount val="1"/>
                <c:pt idx="0">
                  <c:v>-100</c:v>
                </c:pt>
              </c:numCache>
            </c:numRef>
          </c:yVal>
          <c:extLst xmlns:c16r2="http://schemas.microsoft.com/office/drawing/2015/06/chart"/>
        </c:ser>
        <c:ser>
          <c:idx val="13"/>
          <c:order val="13"/>
          <c:tx>
            <c:strRef>
              <c:f>'Cálculo dos Links'!$H$49</c:f>
              <c:strCache>
                <c:ptCount val="1"/>
                <c:pt idx="0">
                  <c:v>4</c:v>
                </c:pt>
              </c:strCache>
            </c:strRef>
          </c:tx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dLblPos val="b"/>
            <c:showSerName val="1"/>
            <c:extLst xmlns:c16r2="http://schemas.microsoft.com/office/drawing/2015/06/chart"/>
          </c:dLbls>
          <c:xVal>
            <c:numRef>
              <c:f>'Cálculo dos Links'!$B$49</c:f>
              <c:numCache>
                <c:formatCode>General</c:formatCode>
                <c:ptCount val="1"/>
                <c:pt idx="0">
                  <c:v>4</c:v>
                </c:pt>
              </c:numCache>
            </c:numRef>
          </c:xVal>
          <c:yVal>
            <c:numRef>
              <c:f>'Cálculo dos Links'!$D$49</c:f>
              <c:numCache>
                <c:formatCode>General</c:formatCode>
                <c:ptCount val="1"/>
                <c:pt idx="0">
                  <c:v>-100</c:v>
                </c:pt>
              </c:numCache>
            </c:numRef>
          </c:yVal>
          <c:extLst xmlns:c16r2="http://schemas.microsoft.com/office/drawing/2015/06/chart"/>
        </c:ser>
        <c:ser>
          <c:idx val="14"/>
          <c:order val="14"/>
          <c:tx>
            <c:strRef>
              <c:f>'Cálculo dos Links'!$H$50</c:f>
              <c:strCache>
                <c:ptCount val="1"/>
                <c:pt idx="0">
                  <c:v>3</c:v>
                </c:pt>
              </c:strCache>
            </c:strRef>
          </c:tx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dLblPos val="b"/>
            <c:showSerName val="1"/>
            <c:extLst xmlns:c16r2="http://schemas.microsoft.com/office/drawing/2015/06/chart"/>
          </c:dLbls>
          <c:xVal>
            <c:numRef>
              <c:f>'Cálculo dos Links'!$B$50</c:f>
              <c:numCache>
                <c:formatCode>General</c:formatCode>
                <c:ptCount val="1"/>
                <c:pt idx="0">
                  <c:v>3</c:v>
                </c:pt>
              </c:numCache>
            </c:numRef>
          </c:xVal>
          <c:yVal>
            <c:numRef>
              <c:f>'Cálculo dos Links'!$D$50</c:f>
              <c:numCache>
                <c:formatCode>General</c:formatCode>
                <c:ptCount val="1"/>
                <c:pt idx="0">
                  <c:v>-100</c:v>
                </c:pt>
              </c:numCache>
            </c:numRef>
          </c:yVal>
          <c:extLst xmlns:c16r2="http://schemas.microsoft.com/office/drawing/2015/06/chart"/>
        </c:ser>
        <c:ser>
          <c:idx val="15"/>
          <c:order val="15"/>
          <c:tx>
            <c:strRef>
              <c:f>'Cálculo dos Links'!$H$51</c:f>
              <c:strCache>
                <c:ptCount val="1"/>
                <c:pt idx="0">
                  <c:v>2</c:v>
                </c:pt>
              </c:strCache>
            </c:strRef>
          </c:tx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dLblPos val="b"/>
            <c:showSerName val="1"/>
            <c:extLst xmlns:c16r2="http://schemas.microsoft.com/office/drawing/2015/06/chart"/>
          </c:dLbls>
          <c:xVal>
            <c:numRef>
              <c:f>'Cálculo dos Links'!$B$51</c:f>
              <c:numCache>
                <c:formatCode>General</c:formatCode>
                <c:ptCount val="1"/>
                <c:pt idx="0">
                  <c:v>2</c:v>
                </c:pt>
              </c:numCache>
            </c:numRef>
          </c:xVal>
          <c:yVal>
            <c:numRef>
              <c:f>'Cálculo dos Links'!$D$51</c:f>
              <c:numCache>
                <c:formatCode>General</c:formatCode>
                <c:ptCount val="1"/>
                <c:pt idx="0">
                  <c:v>-100</c:v>
                </c:pt>
              </c:numCache>
            </c:numRef>
          </c:yVal>
          <c:extLst xmlns:c16r2="http://schemas.microsoft.com/office/drawing/2015/06/chart"/>
        </c:ser>
        <c:ser>
          <c:idx val="16"/>
          <c:order val="16"/>
          <c:tx>
            <c:strRef>
              <c:f>'Cálculo dos Links'!$H$52</c:f>
              <c:strCache>
                <c:ptCount val="1"/>
                <c:pt idx="0">
                  <c:v>1</c:v>
                </c:pt>
              </c:strCache>
            </c:strRef>
          </c:tx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dLblPos val="b"/>
            <c:showSerName val="1"/>
            <c:extLst xmlns:c16r2="http://schemas.microsoft.com/office/drawing/2015/06/chart"/>
          </c:dLbls>
          <c:xVal>
            <c:numRef>
              <c:f>'Cálculo dos Links'!$B$52</c:f>
              <c:numCache>
                <c:formatCode>General</c:formatCode>
                <c:ptCount val="1"/>
                <c:pt idx="0">
                  <c:v>1</c:v>
                </c:pt>
              </c:numCache>
            </c:numRef>
          </c:xVal>
          <c:yVal>
            <c:numRef>
              <c:f>'Cálculo dos Links'!$D$53</c:f>
              <c:numCache>
                <c:formatCode>General</c:formatCode>
                <c:ptCount val="1"/>
                <c:pt idx="0">
                  <c:v>-100</c:v>
                </c:pt>
              </c:numCache>
            </c:numRef>
          </c:yVal>
          <c:extLst xmlns:c16r2="http://schemas.microsoft.com/office/drawing/2015/06/chart"/>
        </c:ser>
        <c:ser>
          <c:idx val="17"/>
          <c:order val="17"/>
          <c:tx>
            <c:v>EixoX</c:v>
          </c:tx>
          <c:spPr>
            <a:ln>
              <a:solidFill>
                <a:schemeClr val="tx1"/>
              </a:solidFill>
            </a:ln>
          </c:spPr>
          <c:marker>
            <c:symbol val="x"/>
            <c:size val="7"/>
            <c:spPr>
              <a:solidFill>
                <a:srgbClr val="4F81BD"/>
              </a:solidFill>
            </c:spPr>
          </c:marker>
          <c:trendline>
            <c:trendlineType val="linear"/>
          </c:trendline>
          <c:xVal>
            <c:numRef>
              <c:f>'Cálculo dos Links'!$B$43:$B$53</c:f>
              <c:numCache>
                <c:formatCode>General</c:formatCode>
                <c:ptCount val="11"/>
                <c:pt idx="0">
                  <c:v>10</c:v>
                </c:pt>
                <c:pt idx="1">
                  <c:v>9</c:v>
                </c:pt>
                <c:pt idx="2">
                  <c:v>8</c:v>
                </c:pt>
                <c:pt idx="3">
                  <c:v>7</c:v>
                </c:pt>
                <c:pt idx="4">
                  <c:v>6</c:v>
                </c:pt>
                <c:pt idx="5">
                  <c:v>5</c:v>
                </c:pt>
                <c:pt idx="6">
                  <c:v>4</c:v>
                </c:pt>
                <c:pt idx="7">
                  <c:v>3</c:v>
                </c:pt>
                <c:pt idx="8">
                  <c:v>2</c:v>
                </c:pt>
                <c:pt idx="9">
                  <c:v>1</c:v>
                </c:pt>
                <c:pt idx="10">
                  <c:v>0</c:v>
                </c:pt>
              </c:numCache>
            </c:numRef>
          </c:xVal>
          <c:yVal>
            <c:numRef>
              <c:f>'Cálculo dos Links'!$D$43:$D$53</c:f>
              <c:numCache>
                <c:formatCode>General</c:formatCode>
                <c:ptCount val="11"/>
                <c:pt idx="0">
                  <c:v>-100</c:v>
                </c:pt>
                <c:pt idx="1">
                  <c:v>-100</c:v>
                </c:pt>
                <c:pt idx="2">
                  <c:v>-100</c:v>
                </c:pt>
                <c:pt idx="3">
                  <c:v>-100</c:v>
                </c:pt>
                <c:pt idx="4">
                  <c:v>-100</c:v>
                </c:pt>
                <c:pt idx="5">
                  <c:v>-100</c:v>
                </c:pt>
                <c:pt idx="6">
                  <c:v>-100</c:v>
                </c:pt>
                <c:pt idx="7">
                  <c:v>-100</c:v>
                </c:pt>
                <c:pt idx="8">
                  <c:v>-100</c:v>
                </c:pt>
                <c:pt idx="9">
                  <c:v>-100</c:v>
                </c:pt>
                <c:pt idx="10">
                  <c:v>-100</c:v>
                </c:pt>
              </c:numCache>
            </c:numRef>
          </c:yVal>
          <c:extLst xmlns:c16r2="http://schemas.microsoft.com/office/drawing/2015/06/chart"/>
        </c:ser>
        <c:ser>
          <c:idx val="18"/>
          <c:order val="18"/>
          <c:tx>
            <c:v>Grade1</c:v>
          </c:tx>
          <c:spPr>
            <a:ln>
              <a:solidFill>
                <a:schemeClr val="tx2">
                  <a:lumMod val="20000"/>
                  <a:lumOff val="80000"/>
                </a:schemeClr>
              </a:solidFill>
              <a:prstDash val="sysDot"/>
            </a:ln>
          </c:spPr>
          <c:marker>
            <c:symbol val="none"/>
          </c:marker>
          <c:xVal>
            <c:numRef>
              <c:f>('Cálculo dos Links'!$B$52,'Cálculo dos Links'!$B$52)</c:f>
              <c:numCache>
                <c:formatCode>General</c:formatCode>
                <c:ptCount val="2"/>
                <c:pt idx="0">
                  <c:v>1</c:v>
                </c:pt>
                <c:pt idx="1">
                  <c:v>1</c:v>
                </c:pt>
              </c:numCache>
            </c:numRef>
          </c:xVal>
          <c:yVal>
            <c:numRef>
              <c:f>('Cálculo dos Links'!$B$8,'Cálculo dos Links'!$D$52)</c:f>
              <c:numCache>
                <c:formatCode>General</c:formatCode>
                <c:ptCount val="2"/>
                <c:pt idx="0" formatCode="0.0">
                  <c:v>36</c:v>
                </c:pt>
                <c:pt idx="1">
                  <c:v>-100</c:v>
                </c:pt>
              </c:numCache>
            </c:numRef>
          </c:yVal>
          <c:extLst xmlns:c16r2="http://schemas.microsoft.com/office/drawing/2015/06/chart"/>
        </c:ser>
        <c:ser>
          <c:idx val="19"/>
          <c:order val="19"/>
          <c:tx>
            <c:v>Grade2</c:v>
          </c:tx>
          <c:spPr>
            <a:ln>
              <a:solidFill>
                <a:srgbClr val="4F81BD">
                  <a:tint val="58000"/>
                  <a:shade val="95000"/>
                  <a:satMod val="105000"/>
                </a:srgbClr>
              </a:solidFill>
              <a:prstDash val="sysDot"/>
            </a:ln>
          </c:spPr>
          <c:marker>
            <c:symbol val="none"/>
          </c:marker>
          <c:xVal>
            <c:numRef>
              <c:f>('Cálculo dos Links'!$B$51,'Cálculo dos Links'!$B$51)</c:f>
              <c:numCache>
                <c:formatCode>General</c:formatCode>
                <c:ptCount val="2"/>
                <c:pt idx="0">
                  <c:v>2</c:v>
                </c:pt>
                <c:pt idx="1">
                  <c:v>2</c:v>
                </c:pt>
              </c:numCache>
            </c:numRef>
          </c:xVal>
          <c:yVal>
            <c:numRef>
              <c:f>('Cálculo dos Links'!$B$8,'Cálculo dos Links'!$D$52)</c:f>
              <c:numCache>
                <c:formatCode>General</c:formatCode>
                <c:ptCount val="2"/>
                <c:pt idx="0" formatCode="0.0">
                  <c:v>36</c:v>
                </c:pt>
                <c:pt idx="1">
                  <c:v>-100</c:v>
                </c:pt>
              </c:numCache>
            </c:numRef>
          </c:yVal>
          <c:extLst xmlns:c16r2="http://schemas.microsoft.com/office/drawing/2015/06/chart"/>
        </c:ser>
        <c:ser>
          <c:idx val="20"/>
          <c:order val="20"/>
          <c:tx>
            <c:v>Grade3</c:v>
          </c:tx>
          <c:spPr>
            <a:ln>
              <a:solidFill>
                <a:schemeClr val="tx2">
                  <a:lumMod val="40000"/>
                  <a:lumOff val="60000"/>
                </a:schemeClr>
              </a:solidFill>
              <a:prstDash val="sysDot"/>
            </a:ln>
          </c:spPr>
          <c:marker>
            <c:symbol val="none"/>
          </c:marker>
          <c:xVal>
            <c:numRef>
              <c:f>('Cálculo dos Links'!$B$50,'Cálculo dos Links'!$B$50)</c:f>
              <c:numCache>
                <c:formatCode>General</c:formatCode>
                <c:ptCount val="2"/>
                <c:pt idx="0">
                  <c:v>3</c:v>
                </c:pt>
                <c:pt idx="1">
                  <c:v>3</c:v>
                </c:pt>
              </c:numCache>
            </c:numRef>
          </c:xVal>
          <c:yVal>
            <c:numRef>
              <c:f>('Cálculo dos Links'!$B$8,'Cálculo dos Links'!$D$50)</c:f>
              <c:numCache>
                <c:formatCode>General</c:formatCode>
                <c:ptCount val="2"/>
                <c:pt idx="0" formatCode="0.0">
                  <c:v>36</c:v>
                </c:pt>
                <c:pt idx="1">
                  <c:v>-100</c:v>
                </c:pt>
              </c:numCache>
            </c:numRef>
          </c:yVal>
          <c:extLst xmlns:c16r2="http://schemas.microsoft.com/office/drawing/2015/06/chart"/>
        </c:ser>
        <c:ser>
          <c:idx val="21"/>
          <c:order val="21"/>
          <c:tx>
            <c:v>Grade4</c:v>
          </c:tx>
          <c:spPr>
            <a:ln>
              <a:solidFill>
                <a:srgbClr val="4F81BD">
                  <a:tint val="58000"/>
                  <a:shade val="95000"/>
                  <a:satMod val="105000"/>
                </a:srgbClr>
              </a:solidFill>
              <a:prstDash val="sysDot"/>
            </a:ln>
          </c:spPr>
          <c:marker>
            <c:symbol val="none"/>
          </c:marker>
          <c:xVal>
            <c:numRef>
              <c:f>('Cálculo dos Links'!$B$49,'Cálculo dos Links'!$B$49)</c:f>
              <c:numCache>
                <c:formatCode>General</c:formatCode>
                <c:ptCount val="2"/>
                <c:pt idx="0">
                  <c:v>4</c:v>
                </c:pt>
                <c:pt idx="1">
                  <c:v>4</c:v>
                </c:pt>
              </c:numCache>
            </c:numRef>
          </c:xVal>
          <c:yVal>
            <c:numRef>
              <c:f>('Cálculo dos Links'!$B$8,'Cálculo dos Links'!$D$49)</c:f>
              <c:numCache>
                <c:formatCode>General</c:formatCode>
                <c:ptCount val="2"/>
                <c:pt idx="0" formatCode="0.0">
                  <c:v>36</c:v>
                </c:pt>
                <c:pt idx="1">
                  <c:v>-100</c:v>
                </c:pt>
              </c:numCache>
            </c:numRef>
          </c:yVal>
          <c:extLst xmlns:c16r2="http://schemas.microsoft.com/office/drawing/2015/06/chart"/>
        </c:ser>
        <c:ser>
          <c:idx val="22"/>
          <c:order val="22"/>
          <c:tx>
            <c:v>Grade5</c:v>
          </c:tx>
          <c:spPr>
            <a:ln>
              <a:solidFill>
                <a:srgbClr val="4F81BD">
                  <a:tint val="58000"/>
                  <a:shade val="95000"/>
                  <a:satMod val="105000"/>
                </a:srgbClr>
              </a:solidFill>
              <a:prstDash val="sysDot"/>
            </a:ln>
          </c:spPr>
          <c:marker>
            <c:symbol val="none"/>
          </c:marker>
          <c:xVal>
            <c:numRef>
              <c:f>('Cálculo dos Links'!$B$48,'Cálculo dos Links'!$B$48)</c:f>
              <c:numCache>
                <c:formatCode>General</c:formatCode>
                <c:ptCount val="2"/>
                <c:pt idx="0">
                  <c:v>5</c:v>
                </c:pt>
                <c:pt idx="1">
                  <c:v>5</c:v>
                </c:pt>
              </c:numCache>
            </c:numRef>
          </c:xVal>
          <c:yVal>
            <c:numRef>
              <c:f>('Cálculo dos Links'!$B$8,'Cálculo dos Links'!$D$48)</c:f>
              <c:numCache>
                <c:formatCode>General</c:formatCode>
                <c:ptCount val="2"/>
                <c:pt idx="0" formatCode="0.0">
                  <c:v>36</c:v>
                </c:pt>
                <c:pt idx="1">
                  <c:v>-100</c:v>
                </c:pt>
              </c:numCache>
            </c:numRef>
          </c:yVal>
          <c:extLst xmlns:c16r2="http://schemas.microsoft.com/office/drawing/2015/06/chart"/>
        </c:ser>
        <c:ser>
          <c:idx val="23"/>
          <c:order val="23"/>
          <c:tx>
            <c:v>Grade6</c:v>
          </c:tx>
          <c:spPr>
            <a:ln>
              <a:solidFill>
                <a:srgbClr val="4F81BD">
                  <a:tint val="58000"/>
                  <a:shade val="95000"/>
                  <a:satMod val="105000"/>
                </a:srgbClr>
              </a:solidFill>
              <a:prstDash val="sysDot"/>
            </a:ln>
          </c:spPr>
          <c:marker>
            <c:symbol val="none"/>
          </c:marker>
          <c:xVal>
            <c:numRef>
              <c:f>('Cálculo dos Links'!$B$47,'Cálculo dos Links'!$B$47)</c:f>
              <c:numCache>
                <c:formatCode>General</c:formatCode>
                <c:ptCount val="2"/>
                <c:pt idx="0">
                  <c:v>6</c:v>
                </c:pt>
                <c:pt idx="1">
                  <c:v>6</c:v>
                </c:pt>
              </c:numCache>
            </c:numRef>
          </c:xVal>
          <c:yVal>
            <c:numRef>
              <c:f>('Cálculo dos Links'!$B$8,'Cálculo dos Links'!$D$47)</c:f>
              <c:numCache>
                <c:formatCode>General</c:formatCode>
                <c:ptCount val="2"/>
                <c:pt idx="0" formatCode="0.0">
                  <c:v>36</c:v>
                </c:pt>
                <c:pt idx="1">
                  <c:v>-100</c:v>
                </c:pt>
              </c:numCache>
            </c:numRef>
          </c:yVal>
          <c:extLst xmlns:c16r2="http://schemas.microsoft.com/office/drawing/2015/06/chart"/>
        </c:ser>
        <c:ser>
          <c:idx val="24"/>
          <c:order val="24"/>
          <c:tx>
            <c:v>Grade7</c:v>
          </c:tx>
          <c:spPr>
            <a:ln>
              <a:solidFill>
                <a:srgbClr val="4F81BD">
                  <a:tint val="58000"/>
                  <a:shade val="95000"/>
                  <a:satMod val="105000"/>
                </a:srgbClr>
              </a:solidFill>
              <a:prstDash val="sysDot"/>
            </a:ln>
          </c:spPr>
          <c:marker>
            <c:symbol val="none"/>
          </c:marker>
          <c:trendline>
            <c:trendlineType val="linear"/>
          </c:trendline>
          <c:xVal>
            <c:numRef>
              <c:f>('Cálculo dos Links'!$B$46,'Cálculo dos Links'!$B$46)</c:f>
              <c:numCache>
                <c:formatCode>General</c:formatCode>
                <c:ptCount val="2"/>
                <c:pt idx="0">
                  <c:v>7</c:v>
                </c:pt>
                <c:pt idx="1">
                  <c:v>7</c:v>
                </c:pt>
              </c:numCache>
            </c:numRef>
          </c:xVal>
          <c:yVal>
            <c:numRef>
              <c:f>('Cálculo dos Links'!$B$8,'Cálculo dos Links'!$D$46)</c:f>
              <c:numCache>
                <c:formatCode>General</c:formatCode>
                <c:ptCount val="2"/>
                <c:pt idx="0" formatCode="0.0">
                  <c:v>36</c:v>
                </c:pt>
                <c:pt idx="1">
                  <c:v>-100</c:v>
                </c:pt>
              </c:numCache>
            </c:numRef>
          </c:yVal>
          <c:extLst xmlns:c16r2="http://schemas.microsoft.com/office/drawing/2015/06/chart"/>
        </c:ser>
        <c:ser>
          <c:idx val="25"/>
          <c:order val="25"/>
          <c:tx>
            <c:v>Grade8</c:v>
          </c:tx>
          <c:spPr>
            <a:ln>
              <a:solidFill>
                <a:srgbClr val="4F81BD">
                  <a:tint val="58000"/>
                  <a:shade val="95000"/>
                  <a:satMod val="105000"/>
                </a:srgbClr>
              </a:solidFill>
              <a:prstDash val="sysDot"/>
            </a:ln>
          </c:spPr>
          <c:marker>
            <c:symbol val="none"/>
          </c:marker>
          <c:xVal>
            <c:numRef>
              <c:f>('Cálculo dos Links'!$B$45,'Cálculo dos Links'!$B$45)</c:f>
              <c:numCache>
                <c:formatCode>General</c:formatCode>
                <c:ptCount val="2"/>
                <c:pt idx="0">
                  <c:v>8</c:v>
                </c:pt>
                <c:pt idx="1">
                  <c:v>8</c:v>
                </c:pt>
              </c:numCache>
            </c:numRef>
          </c:xVal>
          <c:yVal>
            <c:numRef>
              <c:f>('Cálculo dos Links'!$B$8,'Cálculo dos Links'!$D$45)</c:f>
              <c:numCache>
                <c:formatCode>General</c:formatCode>
                <c:ptCount val="2"/>
                <c:pt idx="0" formatCode="0.0">
                  <c:v>36</c:v>
                </c:pt>
                <c:pt idx="1">
                  <c:v>-100</c:v>
                </c:pt>
              </c:numCache>
            </c:numRef>
          </c:yVal>
          <c:extLst xmlns:c16r2="http://schemas.microsoft.com/office/drawing/2015/06/chart"/>
        </c:ser>
        <c:ser>
          <c:idx val="26"/>
          <c:order val="26"/>
          <c:tx>
            <c:v>Grade9</c:v>
          </c:tx>
          <c:spPr>
            <a:ln>
              <a:solidFill>
                <a:srgbClr val="4F81BD">
                  <a:tint val="58000"/>
                  <a:shade val="95000"/>
                  <a:satMod val="105000"/>
                </a:srgbClr>
              </a:solidFill>
              <a:prstDash val="sysDot"/>
            </a:ln>
          </c:spPr>
          <c:marker>
            <c:symbol val="none"/>
          </c:marker>
          <c:xVal>
            <c:numRef>
              <c:f>('Cálculo dos Links'!$B$44,'Cálculo dos Links'!$B$44)</c:f>
              <c:numCache>
                <c:formatCode>General</c:formatCode>
                <c:ptCount val="2"/>
                <c:pt idx="0">
                  <c:v>9</c:v>
                </c:pt>
                <c:pt idx="1">
                  <c:v>9</c:v>
                </c:pt>
              </c:numCache>
            </c:numRef>
          </c:xVal>
          <c:yVal>
            <c:numRef>
              <c:f>('Cálculo dos Links'!$B$8,'Cálculo dos Links'!$D$44)</c:f>
              <c:numCache>
                <c:formatCode>General</c:formatCode>
                <c:ptCount val="2"/>
                <c:pt idx="0" formatCode="0.0">
                  <c:v>36</c:v>
                </c:pt>
                <c:pt idx="1">
                  <c:v>-100</c:v>
                </c:pt>
              </c:numCache>
            </c:numRef>
          </c:yVal>
          <c:extLst xmlns:c16r2="http://schemas.microsoft.com/office/drawing/2015/06/chart"/>
        </c:ser>
        <c:ser>
          <c:idx val="27"/>
          <c:order val="27"/>
          <c:tx>
            <c:v>Grade10</c:v>
          </c:tx>
          <c:spPr>
            <a:ln>
              <a:solidFill>
                <a:srgbClr val="4F81BD">
                  <a:tint val="58000"/>
                  <a:shade val="95000"/>
                  <a:satMod val="105000"/>
                </a:srgbClr>
              </a:solidFill>
              <a:prstDash val="sysDot"/>
            </a:ln>
          </c:spPr>
          <c:marker>
            <c:symbol val="none"/>
          </c:marker>
          <c:xVal>
            <c:numRef>
              <c:f>('Cálculo dos Links'!$B$43,'Cálculo dos Links'!$B$43)</c:f>
              <c:numCache>
                <c:formatCode>General</c:formatCode>
                <c:ptCount val="2"/>
                <c:pt idx="0">
                  <c:v>10</c:v>
                </c:pt>
                <c:pt idx="1">
                  <c:v>10</c:v>
                </c:pt>
              </c:numCache>
            </c:numRef>
          </c:xVal>
          <c:yVal>
            <c:numRef>
              <c:f>('Cálculo dos Links'!$B$8,'Cálculo dos Links'!$D$43)</c:f>
              <c:numCache>
                <c:formatCode>General</c:formatCode>
                <c:ptCount val="2"/>
                <c:pt idx="0" formatCode="0.0">
                  <c:v>36</c:v>
                </c:pt>
                <c:pt idx="1">
                  <c:v>-100</c:v>
                </c:pt>
              </c:numCache>
            </c:numRef>
          </c:yVal>
          <c:extLst xmlns:c16r2="http://schemas.microsoft.com/office/drawing/2015/06/chart"/>
        </c:ser>
        <c:ser>
          <c:idx val="28"/>
          <c:order val="28"/>
          <c:tx>
            <c:strRef>
              <c:f>'Cálculo dos Links'!$A$55</c:f>
              <c:strCache>
                <c:ptCount val="1"/>
                <c:pt idx="0">
                  <c:v>Margem Link Reverso</c:v>
                </c:pt>
              </c:strCache>
            </c:strRef>
          </c:tx>
          <c:dPt>
            <c:idx val="0"/>
            <c:marker>
              <c:symbol val="none"/>
            </c:marker>
            <c:extLst xmlns:c16r2="http://schemas.microsoft.com/office/drawing/2015/06/chart"/>
          </c:dPt>
          <c:dLbls>
            <c:dLbl>
              <c:idx val="0"/>
              <c:layout>
                <c:manualLayout>
                  <c:x val="-0.16015680392595089"/>
                  <c:y val="7.3394509551302934E-3"/>
                </c:manualLayout>
              </c:layout>
              <c:showSerName val="1"/>
              <c:extLst xmlns:c16r2="http://schemas.microsoft.com/office/drawing/2015/06/chart"/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1200" baseline="0"/>
                </a:pPr>
                <a:endParaRPr lang="pt-BR"/>
              </a:p>
            </c:txPr>
            <c:showSerName val="1"/>
            <c:extLst xmlns:c16r2="http://schemas.microsoft.com/office/drawing/2015/06/chart"/>
          </c:dLbls>
          <c:xVal>
            <c:numRef>
              <c:f>'Cálculo dos Links'!$B$33</c:f>
              <c:numCache>
                <c:formatCode>General</c:formatCode>
                <c:ptCount val="1"/>
                <c:pt idx="0">
                  <c:v>3</c:v>
                </c:pt>
              </c:numCache>
            </c:numRef>
          </c:xVal>
          <c:yVal>
            <c:numRef>
              <c:f>'Cálculo dos Links'!$B$55</c:f>
              <c:numCache>
                <c:formatCode>0.0</c:formatCode>
                <c:ptCount val="1"/>
                <c:pt idx="0">
                  <c:v>-76.528421881328967</c:v>
                </c:pt>
              </c:numCache>
            </c:numRef>
          </c:yVal>
          <c:extLst xmlns:c16r2="http://schemas.microsoft.com/office/drawing/2015/06/chart"/>
        </c:ser>
        <c:ser>
          <c:idx val="29"/>
          <c:order val="29"/>
          <c:tx>
            <c:v>Margem DIR</c:v>
          </c:tx>
          <c:spPr>
            <a:ln w="12700">
              <a:solidFill>
                <a:schemeClr val="accent1"/>
              </a:solidFill>
              <a:prstDash val="lgDashDotDot"/>
            </a:ln>
          </c:spPr>
          <c:marker>
            <c:symbol val="x"/>
            <c:size val="12"/>
            <c:spPr>
              <a:noFill/>
              <a:ln>
                <a:solidFill>
                  <a:srgbClr val="4F81BD"/>
                </a:solidFill>
              </a:ln>
            </c:spPr>
          </c:marker>
          <c:xVal>
            <c:numRef>
              <c:f>('Cálculo dos Links'!$B$33,'Cálculo dos Links'!$B$9)</c:f>
              <c:numCache>
                <c:formatCode>0.0</c:formatCode>
                <c:ptCount val="2"/>
                <c:pt idx="0" formatCode="General">
                  <c:v>3</c:v>
                </c:pt>
                <c:pt idx="1">
                  <c:v>10</c:v>
                </c:pt>
              </c:numCache>
            </c:numRef>
          </c:xVal>
          <c:yVal>
            <c:numRef>
              <c:f>('Cálculo dos Links'!$B$12,'Cálculo dos Links'!$B$12)</c:f>
              <c:numCache>
                <c:formatCode>0.0</c:formatCode>
                <c:ptCount val="2"/>
                <c:pt idx="0">
                  <c:v>-15.678421881328973</c:v>
                </c:pt>
                <c:pt idx="1">
                  <c:v>-15.678421881328973</c:v>
                </c:pt>
              </c:numCache>
            </c:numRef>
          </c:yVal>
          <c:extLst xmlns:c16r2="http://schemas.microsoft.com/office/drawing/2015/06/chart"/>
        </c:ser>
        <c:ser>
          <c:idx val="30"/>
          <c:order val="30"/>
          <c:tx>
            <c:v>Linha Margem Dir</c:v>
          </c:tx>
          <c:spPr>
            <a:ln>
              <a:solidFill>
                <a:schemeClr val="tx2"/>
              </a:solidFill>
              <a:prstDash val="dash"/>
            </a:ln>
          </c:spPr>
          <c:dPt>
            <c:idx val="0"/>
            <c:marker>
              <c:symbol val="x"/>
              <c:size val="11"/>
              <c:spPr>
                <a:noFill/>
                <a:ln>
                  <a:solidFill>
                    <a:srgbClr val="4F81BD"/>
                  </a:solidFill>
                </a:ln>
              </c:spPr>
            </c:marker>
            <c:extLst xmlns:c16r2="http://schemas.microsoft.com/office/drawing/2015/06/chart"/>
          </c:dPt>
          <c:xVal>
            <c:numRef>
              <c:f>('Cálculo dos Links'!$B$33,'Cálculo dos Links'!$B$33)</c:f>
              <c:numCache>
                <c:formatCode>General</c:formatCode>
                <c:ptCount val="2"/>
                <c:pt idx="0">
                  <c:v>3</c:v>
                </c:pt>
                <c:pt idx="1">
                  <c:v>3</c:v>
                </c:pt>
              </c:numCache>
            </c:numRef>
          </c:xVal>
          <c:yVal>
            <c:numRef>
              <c:f>('Cálculo dos Links'!$B$17,'Cálculo dos Links'!$B$12)</c:f>
              <c:numCache>
                <c:formatCode>0.0</c:formatCode>
                <c:ptCount val="2"/>
                <c:pt idx="0" formatCode="General">
                  <c:v>-20.7</c:v>
                </c:pt>
                <c:pt idx="1">
                  <c:v>-15.678421881328973</c:v>
                </c:pt>
              </c:numCache>
            </c:numRef>
          </c:yVal>
          <c:extLst xmlns:c16r2="http://schemas.microsoft.com/office/drawing/2015/06/chart"/>
        </c:ser>
        <c:ser>
          <c:idx val="31"/>
          <c:order val="31"/>
          <c:tx>
            <c:strRef>
              <c:f>'Cálculo dos Links'!$A$56</c:f>
              <c:strCache>
                <c:ptCount val="1"/>
                <c:pt idx="0">
                  <c:v>Margem Link Direto</c:v>
                </c:pt>
              </c:strCache>
            </c:strRef>
          </c:tx>
          <c:dLbls>
            <c:dLbl>
              <c:idx val="0"/>
              <c:layout>
                <c:manualLayout>
                  <c:x val="-5.5389941898588133E-2"/>
                  <c:y val="-1.5945247673781474E-2"/>
                </c:manualLayout>
              </c:layout>
              <c:dLblPos val="l"/>
              <c:showSerName val="1"/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1200" baseline="0"/>
                </a:pPr>
                <a:endParaRPr lang="pt-BR"/>
              </a:p>
            </c:txPr>
            <c:dLblPos val="l"/>
            <c:showSerName val="1"/>
            <c:extLst xmlns:c16r2="http://schemas.microsoft.com/office/drawing/2015/06/chart"/>
          </c:dLbls>
          <c:xVal>
            <c:numRef>
              <c:f>'Cálculo dos Links'!$B$33</c:f>
              <c:numCache>
                <c:formatCode>General</c:formatCode>
                <c:ptCount val="1"/>
                <c:pt idx="0">
                  <c:v>3</c:v>
                </c:pt>
              </c:numCache>
            </c:numRef>
          </c:xVal>
          <c:yVal>
            <c:numRef>
              <c:f>'Cálculo dos Links'!$B$56</c:f>
              <c:numCache>
                <c:formatCode>0.0</c:formatCode>
                <c:ptCount val="1"/>
                <c:pt idx="0">
                  <c:v>-18.189210940664488</c:v>
                </c:pt>
              </c:numCache>
            </c:numRef>
          </c:yVal>
          <c:extLst xmlns:c16r2="http://schemas.microsoft.com/office/drawing/2015/06/chart"/>
        </c:ser>
        <c:ser>
          <c:idx val="32"/>
          <c:order val="32"/>
          <c:marker>
            <c:symbol val="none"/>
          </c:marker>
          <c:dPt>
            <c:idx val="90"/>
            <c:marker>
              <c:symbol val="circle"/>
              <c:size val="8"/>
              <c:spPr>
                <a:solidFill>
                  <a:srgbClr val="4F81BD"/>
                </a:solidFill>
              </c:spPr>
            </c:marker>
            <c:extLst xmlns:c16r2="http://schemas.microsoft.com/office/drawing/2015/06/chart"/>
          </c:dPt>
          <c:xVal>
            <c:numRef>
              <c:f>'Cálculo dos Links'!$D$70:$D$160</c:f>
              <c:numCache>
                <c:formatCode>General</c:formatCode>
                <c:ptCount val="91"/>
                <c:pt idx="0">
                  <c:v>1</c:v>
                </c:pt>
                <c:pt idx="1">
                  <c:v>1.1000000000000001</c:v>
                </c:pt>
                <c:pt idx="2">
                  <c:v>1.2000000000000002</c:v>
                </c:pt>
                <c:pt idx="3">
                  <c:v>1.3</c:v>
                </c:pt>
                <c:pt idx="4">
                  <c:v>1.4000000000000001</c:v>
                </c:pt>
                <c:pt idx="5">
                  <c:v>1.5</c:v>
                </c:pt>
                <c:pt idx="6">
                  <c:v>1.6</c:v>
                </c:pt>
                <c:pt idx="7">
                  <c:v>1.7000000000000002</c:v>
                </c:pt>
                <c:pt idx="8">
                  <c:v>1.8</c:v>
                </c:pt>
                <c:pt idx="9">
                  <c:v>1.9000000000000001</c:v>
                </c:pt>
                <c:pt idx="10">
                  <c:v>2</c:v>
                </c:pt>
                <c:pt idx="11">
                  <c:v>2.1</c:v>
                </c:pt>
                <c:pt idx="12">
                  <c:v>2.2000000000000002</c:v>
                </c:pt>
                <c:pt idx="13">
                  <c:v>2.3000000000000003</c:v>
                </c:pt>
                <c:pt idx="14">
                  <c:v>2.4000000000000004</c:v>
                </c:pt>
                <c:pt idx="15">
                  <c:v>2.5</c:v>
                </c:pt>
                <c:pt idx="16">
                  <c:v>2.6</c:v>
                </c:pt>
                <c:pt idx="17">
                  <c:v>2.7</c:v>
                </c:pt>
                <c:pt idx="18">
                  <c:v>2.8000000000000003</c:v>
                </c:pt>
                <c:pt idx="19">
                  <c:v>2.9000000000000004</c:v>
                </c:pt>
                <c:pt idx="20">
                  <c:v>3</c:v>
                </c:pt>
                <c:pt idx="21">
                  <c:v>3.1</c:v>
                </c:pt>
                <c:pt idx="22">
                  <c:v>3.2</c:v>
                </c:pt>
                <c:pt idx="23">
                  <c:v>3.3000000000000003</c:v>
                </c:pt>
                <c:pt idx="24">
                  <c:v>3.4000000000000004</c:v>
                </c:pt>
                <c:pt idx="25">
                  <c:v>3.5</c:v>
                </c:pt>
                <c:pt idx="26">
                  <c:v>3.6</c:v>
                </c:pt>
                <c:pt idx="27">
                  <c:v>3.7</c:v>
                </c:pt>
                <c:pt idx="28">
                  <c:v>3.8000000000000003</c:v>
                </c:pt>
                <c:pt idx="29">
                  <c:v>3.9000000000000004</c:v>
                </c:pt>
                <c:pt idx="30">
                  <c:v>4</c:v>
                </c:pt>
                <c:pt idx="31">
                  <c:v>4.1000000000000005</c:v>
                </c:pt>
                <c:pt idx="32">
                  <c:v>4.2</c:v>
                </c:pt>
                <c:pt idx="33">
                  <c:v>4.3</c:v>
                </c:pt>
                <c:pt idx="34">
                  <c:v>4.4000000000000004</c:v>
                </c:pt>
                <c:pt idx="35">
                  <c:v>4.5</c:v>
                </c:pt>
                <c:pt idx="36">
                  <c:v>4.6000000000000005</c:v>
                </c:pt>
                <c:pt idx="37">
                  <c:v>4.7</c:v>
                </c:pt>
                <c:pt idx="38">
                  <c:v>4.8000000000000007</c:v>
                </c:pt>
                <c:pt idx="39">
                  <c:v>4.9000000000000004</c:v>
                </c:pt>
                <c:pt idx="40">
                  <c:v>5</c:v>
                </c:pt>
                <c:pt idx="41">
                  <c:v>5.1000000000000005</c:v>
                </c:pt>
                <c:pt idx="42">
                  <c:v>5.2</c:v>
                </c:pt>
                <c:pt idx="43">
                  <c:v>5.3000000000000007</c:v>
                </c:pt>
                <c:pt idx="44">
                  <c:v>5.4</c:v>
                </c:pt>
                <c:pt idx="45">
                  <c:v>5.5</c:v>
                </c:pt>
                <c:pt idx="46">
                  <c:v>5.6000000000000005</c:v>
                </c:pt>
                <c:pt idx="47">
                  <c:v>5.7</c:v>
                </c:pt>
                <c:pt idx="48">
                  <c:v>5.8000000000000007</c:v>
                </c:pt>
                <c:pt idx="49">
                  <c:v>5.9</c:v>
                </c:pt>
                <c:pt idx="50">
                  <c:v>6</c:v>
                </c:pt>
                <c:pt idx="51">
                  <c:v>6.1000000000000005</c:v>
                </c:pt>
                <c:pt idx="52">
                  <c:v>6.2</c:v>
                </c:pt>
                <c:pt idx="53">
                  <c:v>6.3000000000000007</c:v>
                </c:pt>
                <c:pt idx="54">
                  <c:v>6.4</c:v>
                </c:pt>
                <c:pt idx="55">
                  <c:v>6.5</c:v>
                </c:pt>
                <c:pt idx="56">
                  <c:v>6.6000000000000005</c:v>
                </c:pt>
                <c:pt idx="57">
                  <c:v>6.7</c:v>
                </c:pt>
                <c:pt idx="58">
                  <c:v>6.8000000000000007</c:v>
                </c:pt>
                <c:pt idx="59">
                  <c:v>6.9</c:v>
                </c:pt>
                <c:pt idx="60">
                  <c:v>7</c:v>
                </c:pt>
                <c:pt idx="61">
                  <c:v>7.1000000000000005</c:v>
                </c:pt>
                <c:pt idx="62">
                  <c:v>7.2</c:v>
                </c:pt>
                <c:pt idx="63">
                  <c:v>7.3000000000000007</c:v>
                </c:pt>
                <c:pt idx="64">
                  <c:v>7.4</c:v>
                </c:pt>
                <c:pt idx="65">
                  <c:v>7.5</c:v>
                </c:pt>
                <c:pt idx="66">
                  <c:v>7.6000000000000005</c:v>
                </c:pt>
                <c:pt idx="67">
                  <c:v>7.7</c:v>
                </c:pt>
                <c:pt idx="68">
                  <c:v>7.8000000000000007</c:v>
                </c:pt>
                <c:pt idx="69">
                  <c:v>7.9</c:v>
                </c:pt>
                <c:pt idx="70">
                  <c:v>8</c:v>
                </c:pt>
                <c:pt idx="71">
                  <c:v>8.1</c:v>
                </c:pt>
                <c:pt idx="72">
                  <c:v>8.2000000000000011</c:v>
                </c:pt>
                <c:pt idx="73">
                  <c:v>8.3000000000000007</c:v>
                </c:pt>
                <c:pt idx="74">
                  <c:v>8.4</c:v>
                </c:pt>
                <c:pt idx="75">
                  <c:v>8.5</c:v>
                </c:pt>
                <c:pt idx="76">
                  <c:v>8.6</c:v>
                </c:pt>
                <c:pt idx="77">
                  <c:v>8.7000000000000011</c:v>
                </c:pt>
                <c:pt idx="78">
                  <c:v>8.8000000000000007</c:v>
                </c:pt>
                <c:pt idx="79">
                  <c:v>8.9</c:v>
                </c:pt>
                <c:pt idx="80">
                  <c:v>9</c:v>
                </c:pt>
                <c:pt idx="81">
                  <c:v>9.1</c:v>
                </c:pt>
                <c:pt idx="82">
                  <c:v>9.2000000000000011</c:v>
                </c:pt>
                <c:pt idx="83">
                  <c:v>9.3000000000000007</c:v>
                </c:pt>
                <c:pt idx="84">
                  <c:v>9.4</c:v>
                </c:pt>
                <c:pt idx="85">
                  <c:v>9.5</c:v>
                </c:pt>
                <c:pt idx="86">
                  <c:v>9.6000000000000014</c:v>
                </c:pt>
                <c:pt idx="87">
                  <c:v>9.7000000000000011</c:v>
                </c:pt>
                <c:pt idx="88">
                  <c:v>9.8000000000000007</c:v>
                </c:pt>
                <c:pt idx="89">
                  <c:v>9.9</c:v>
                </c:pt>
                <c:pt idx="90">
                  <c:v>10</c:v>
                </c:pt>
              </c:numCache>
            </c:numRef>
          </c:xVal>
          <c:yVal>
            <c:numRef>
              <c:f>'Cálculo dos Links'!$E$70:$E$160</c:f>
              <c:numCache>
                <c:formatCode>General</c:formatCode>
                <c:ptCount val="91"/>
                <c:pt idx="0">
                  <c:v>4.321578118671038</c:v>
                </c:pt>
                <c:pt idx="1">
                  <c:v>3.4937244155065343</c:v>
                </c:pt>
                <c:pt idx="2">
                  <c:v>2.7379531977185394</c:v>
                </c:pt>
                <c:pt idx="3">
                  <c:v>2.0427110725343027</c:v>
                </c:pt>
                <c:pt idx="4">
                  <c:v>1.399017405106278</c:v>
                </c:pt>
                <c:pt idx="5">
                  <c:v>0.79975293755741461</c:v>
                </c:pt>
                <c:pt idx="6">
                  <c:v>0.2391784655525413</c:v>
                </c:pt>
                <c:pt idx="7">
                  <c:v>-0.28740030889444057</c:v>
                </c:pt>
                <c:pt idx="8">
                  <c:v>-0.78387198339508757</c:v>
                </c:pt>
                <c:pt idx="9">
                  <c:v>-1.2534939003855428</c:v>
                </c:pt>
                <c:pt idx="10">
                  <c:v>-1.6990217946085835</c:v>
                </c:pt>
                <c:pt idx="11">
                  <c:v>-2.1228077760073489</c:v>
                </c:pt>
                <c:pt idx="12">
                  <c:v>-2.5268754977730907</c:v>
                </c:pt>
                <c:pt idx="13">
                  <c:v>-2.9129786016808197</c:v>
                </c:pt>
                <c:pt idx="14">
                  <c:v>-3.2826467155610857</c:v>
                </c:pt>
                <c:pt idx="15">
                  <c:v>-3.6372220547697154</c:v>
                </c:pt>
                <c:pt idx="16">
                  <c:v>-3.9778888407453223</c:v>
                </c:pt>
                <c:pt idx="17">
                  <c:v>-4.3056971645087074</c:v>
                </c:pt>
                <c:pt idx="18">
                  <c:v>-4.621582508173347</c:v>
                </c:pt>
                <c:pt idx="19">
                  <c:v>-4.9263818393080854</c:v>
                </c:pt>
                <c:pt idx="20">
                  <c:v>-5.2208469757222105</c:v>
                </c:pt>
                <c:pt idx="21">
                  <c:v>-5.505655758014413</c:v>
                </c:pt>
                <c:pt idx="22">
                  <c:v>-5.7814214477270838</c:v>
                </c:pt>
                <c:pt idx="23">
                  <c:v>-6.0487006788867106</c:v>
                </c:pt>
                <c:pt idx="24">
                  <c:v>-6.3080002221740656</c:v>
                </c:pt>
                <c:pt idx="25">
                  <c:v>-6.5597827683344718</c:v>
                </c:pt>
                <c:pt idx="26">
                  <c:v>-6.8044718966747055</c:v>
                </c:pt>
                <c:pt idx="27">
                  <c:v>-7.0424563626688581</c:v>
                </c:pt>
                <c:pt idx="28">
                  <c:v>-7.2740938136651607</c:v>
                </c:pt>
                <c:pt idx="29">
                  <c:v>-7.4997140218589493</c:v>
                </c:pt>
                <c:pt idx="30">
                  <c:v>-7.7196217078882086</c:v>
                </c:pt>
                <c:pt idx="31">
                  <c:v>-7.9340990157236746</c:v>
                </c:pt>
                <c:pt idx="32">
                  <c:v>-8.143407689286974</c:v>
                </c:pt>
                <c:pt idx="33">
                  <c:v>-8.347790992920693</c:v>
                </c:pt>
                <c:pt idx="34">
                  <c:v>-8.5474754110527087</c:v>
                </c:pt>
                <c:pt idx="35">
                  <c:v>-8.7426721568358374</c:v>
                </c:pt>
                <c:pt idx="36">
                  <c:v>-8.9335785149604447</c:v>
                </c:pt>
                <c:pt idx="37">
                  <c:v>-9.1203790400433107</c:v>
                </c:pt>
                <c:pt idx="38">
                  <c:v>-9.3032466288407107</c:v>
                </c:pt>
                <c:pt idx="39">
                  <c:v>-9.4823434818992354</c:v>
                </c:pt>
                <c:pt idx="40">
                  <c:v>-9.6578219680493333</c:v>
                </c:pt>
                <c:pt idx="41">
                  <c:v>-9.8298254032876855</c:v>
                </c:pt>
                <c:pt idx="42">
                  <c:v>-9.9984887540249474</c:v>
                </c:pt>
                <c:pt idx="43">
                  <c:v>-10.163939273344745</c:v>
                </c:pt>
                <c:pt idx="44">
                  <c:v>-10.326297077788333</c:v>
                </c:pt>
                <c:pt idx="45">
                  <c:v>-10.485675671213841</c:v>
                </c:pt>
                <c:pt idx="46">
                  <c:v>-10.642182421452972</c:v>
                </c:pt>
                <c:pt idx="47">
                  <c:v>-10.795918994778788</c:v>
                </c:pt>
                <c:pt idx="48">
                  <c:v>-10.94698175258771</c:v>
                </c:pt>
                <c:pt idx="49">
                  <c:v>-11.095462114171845</c:v>
                </c:pt>
                <c:pt idx="50">
                  <c:v>-11.241446889001836</c:v>
                </c:pt>
                <c:pt idx="51">
                  <c:v>-11.385018581544301</c:v>
                </c:pt>
                <c:pt idx="52">
                  <c:v>-11.526255671294038</c:v>
                </c:pt>
                <c:pt idx="53">
                  <c:v>-11.665232870400594</c:v>
                </c:pt>
                <c:pt idx="54">
                  <c:v>-11.802021361006709</c:v>
                </c:pt>
                <c:pt idx="55">
                  <c:v>-11.936689014186072</c:v>
                </c:pt>
                <c:pt idx="56">
                  <c:v>-12.069300592166336</c:v>
                </c:pt>
                <c:pt idx="57">
                  <c:v>-12.199917935345496</c:v>
                </c:pt>
                <c:pt idx="58">
                  <c:v>-12.328600135453684</c:v>
                </c:pt>
                <c:pt idx="59">
                  <c:v>-12.455403696074072</c:v>
                </c:pt>
                <c:pt idx="60">
                  <c:v>-12.580382681614097</c:v>
                </c:pt>
                <c:pt idx="61">
                  <c:v>-12.703588855710464</c:v>
                </c:pt>
                <c:pt idx="62">
                  <c:v>-12.825071809954331</c:v>
                </c:pt>
                <c:pt idx="63">
                  <c:v>-12.94487908373808</c:v>
                </c:pt>
                <c:pt idx="64">
                  <c:v>-13.063056275948483</c:v>
                </c:pt>
                <c:pt idx="65">
                  <c:v>-13.17964714916296</c:v>
                </c:pt>
                <c:pt idx="66">
                  <c:v>-13.294693726944786</c:v>
                </c:pt>
                <c:pt idx="67">
                  <c:v>-13.408236384778604</c:v>
                </c:pt>
                <c:pt idx="68">
                  <c:v>-13.520313935138574</c:v>
                </c:pt>
                <c:pt idx="69">
                  <c:v>-13.630963707137795</c:v>
                </c:pt>
                <c:pt idx="70">
                  <c:v>-13.740221621167834</c:v>
                </c:pt>
                <c:pt idx="71">
                  <c:v>-13.848122258901952</c:v>
                </c:pt>
                <c:pt idx="72">
                  <c:v>-13.954698929003293</c:v>
                </c:pt>
                <c:pt idx="73">
                  <c:v>-14.05998372885044</c:v>
                </c:pt>
                <c:pt idx="74">
                  <c:v>-14.164007602566599</c:v>
                </c:pt>
                <c:pt idx="75">
                  <c:v>-14.266800395614815</c:v>
                </c:pt>
                <c:pt idx="76">
                  <c:v>-14.368390906200318</c:v>
                </c:pt>
                <c:pt idx="77">
                  <c:v>-14.46880693370133</c:v>
                </c:pt>
                <c:pt idx="78">
                  <c:v>-14.568075324332334</c:v>
                </c:pt>
                <c:pt idx="79">
                  <c:v>-14.666222014227216</c:v>
                </c:pt>
                <c:pt idx="80">
                  <c:v>-14.763272070115462</c:v>
                </c:pt>
                <c:pt idx="81">
                  <c:v>-14.859249727750836</c:v>
                </c:pt>
                <c:pt idx="82">
                  <c:v>-14.95417842824007</c:v>
                </c:pt>
                <c:pt idx="83">
                  <c:v>-15.048080852407665</c:v>
                </c:pt>
                <c:pt idx="84">
                  <c:v>-15.140978953322936</c:v>
                </c:pt>
                <c:pt idx="85">
                  <c:v>-15.232893987105918</c:v>
                </c:pt>
                <c:pt idx="86">
                  <c:v>-15.323846542120329</c:v>
                </c:pt>
                <c:pt idx="87">
                  <c:v>-15.413856566653863</c:v>
                </c:pt>
                <c:pt idx="88">
                  <c:v>-15.50294339517886</c:v>
                </c:pt>
                <c:pt idx="89">
                  <c:v>-15.591125773279956</c:v>
                </c:pt>
                <c:pt idx="90">
                  <c:v>-15.678421881328958</c:v>
                </c:pt>
              </c:numCache>
            </c:numRef>
          </c:yVal>
          <c:extLst xmlns:c16r2="http://schemas.microsoft.com/office/drawing/2015/06/chart"/>
        </c:ser>
        <c:ser>
          <c:idx val="33"/>
          <c:order val="33"/>
          <c:tx>
            <c:v>Reverse Link</c:v>
          </c:tx>
          <c:marker>
            <c:symbol val="none"/>
          </c:marker>
          <c:dPt>
            <c:idx val="90"/>
            <c:marker>
              <c:symbol val="circle"/>
              <c:size val="8"/>
              <c:spPr>
                <a:solidFill>
                  <a:srgbClr val="4F81BD"/>
                </a:solidFill>
              </c:spPr>
            </c:marker>
            <c:extLst xmlns:c16r2="http://schemas.microsoft.com/office/drawing/2015/06/chart"/>
          </c:dPt>
          <c:dLbls>
            <c:dLbl>
              <c:idx val="90"/>
              <c:layout/>
              <c:dLblPos val="r"/>
              <c:showVal val="1"/>
            </c:dLbl>
            <c:delete val="1"/>
            <c:extLst xmlns:c16r2="http://schemas.microsoft.com/office/drawing/2015/06/chart"/>
          </c:dLbls>
          <c:xVal>
            <c:numRef>
              <c:f>'Cálculo dos Links'!$I$70:$I$160</c:f>
              <c:numCache>
                <c:formatCode>General</c:formatCode>
                <c:ptCount val="91"/>
                <c:pt idx="0">
                  <c:v>9</c:v>
                </c:pt>
                <c:pt idx="1">
                  <c:v>8.9</c:v>
                </c:pt>
                <c:pt idx="2">
                  <c:v>8.8000000000000007</c:v>
                </c:pt>
                <c:pt idx="3">
                  <c:v>8.6999999999999993</c:v>
                </c:pt>
                <c:pt idx="4">
                  <c:v>8.6</c:v>
                </c:pt>
                <c:pt idx="5">
                  <c:v>8.5</c:v>
                </c:pt>
                <c:pt idx="6">
                  <c:v>8.4</c:v>
                </c:pt>
                <c:pt idx="7">
                  <c:v>8.3000000000000007</c:v>
                </c:pt>
                <c:pt idx="8">
                  <c:v>8.1999999999999993</c:v>
                </c:pt>
                <c:pt idx="9">
                  <c:v>8.1</c:v>
                </c:pt>
                <c:pt idx="10">
                  <c:v>8</c:v>
                </c:pt>
                <c:pt idx="11">
                  <c:v>7.9</c:v>
                </c:pt>
                <c:pt idx="12">
                  <c:v>7.8</c:v>
                </c:pt>
                <c:pt idx="13">
                  <c:v>7.6999999999999993</c:v>
                </c:pt>
                <c:pt idx="14">
                  <c:v>7.6</c:v>
                </c:pt>
                <c:pt idx="15">
                  <c:v>7.5</c:v>
                </c:pt>
                <c:pt idx="16">
                  <c:v>7.4</c:v>
                </c:pt>
                <c:pt idx="17">
                  <c:v>7.3</c:v>
                </c:pt>
                <c:pt idx="18">
                  <c:v>7.1999999999999993</c:v>
                </c:pt>
                <c:pt idx="19">
                  <c:v>7.1</c:v>
                </c:pt>
                <c:pt idx="20">
                  <c:v>7</c:v>
                </c:pt>
                <c:pt idx="21">
                  <c:v>6.9</c:v>
                </c:pt>
                <c:pt idx="22">
                  <c:v>6.8</c:v>
                </c:pt>
                <c:pt idx="23">
                  <c:v>6.6999999999999993</c:v>
                </c:pt>
                <c:pt idx="24">
                  <c:v>6.6</c:v>
                </c:pt>
                <c:pt idx="25">
                  <c:v>6.5</c:v>
                </c:pt>
                <c:pt idx="26">
                  <c:v>6.4</c:v>
                </c:pt>
                <c:pt idx="27">
                  <c:v>6.3</c:v>
                </c:pt>
                <c:pt idx="28">
                  <c:v>6.1999999999999993</c:v>
                </c:pt>
                <c:pt idx="29">
                  <c:v>6.1</c:v>
                </c:pt>
                <c:pt idx="30">
                  <c:v>6</c:v>
                </c:pt>
                <c:pt idx="31">
                  <c:v>5.8999999999999995</c:v>
                </c:pt>
                <c:pt idx="32">
                  <c:v>5.8</c:v>
                </c:pt>
                <c:pt idx="33">
                  <c:v>5.7</c:v>
                </c:pt>
                <c:pt idx="34">
                  <c:v>5.6</c:v>
                </c:pt>
                <c:pt idx="35">
                  <c:v>5.5</c:v>
                </c:pt>
                <c:pt idx="36">
                  <c:v>5.3999999999999995</c:v>
                </c:pt>
                <c:pt idx="37">
                  <c:v>5.3</c:v>
                </c:pt>
                <c:pt idx="38">
                  <c:v>5.1999999999999993</c:v>
                </c:pt>
                <c:pt idx="39">
                  <c:v>5.0999999999999996</c:v>
                </c:pt>
                <c:pt idx="40">
                  <c:v>5</c:v>
                </c:pt>
                <c:pt idx="41">
                  <c:v>4.8999999999999995</c:v>
                </c:pt>
                <c:pt idx="42">
                  <c:v>4.8</c:v>
                </c:pt>
                <c:pt idx="43">
                  <c:v>4.6999999999999993</c:v>
                </c:pt>
                <c:pt idx="44">
                  <c:v>4.5999999999999996</c:v>
                </c:pt>
                <c:pt idx="45">
                  <c:v>4.5</c:v>
                </c:pt>
                <c:pt idx="46">
                  <c:v>4.3999999999999995</c:v>
                </c:pt>
                <c:pt idx="47">
                  <c:v>4.3</c:v>
                </c:pt>
                <c:pt idx="48">
                  <c:v>4.1999999999999993</c:v>
                </c:pt>
                <c:pt idx="49">
                  <c:v>4.0999999999999996</c:v>
                </c:pt>
                <c:pt idx="50">
                  <c:v>4</c:v>
                </c:pt>
                <c:pt idx="51">
                  <c:v>3.8999999999999995</c:v>
                </c:pt>
                <c:pt idx="52">
                  <c:v>3.8</c:v>
                </c:pt>
                <c:pt idx="53">
                  <c:v>3.6999999999999993</c:v>
                </c:pt>
                <c:pt idx="54">
                  <c:v>3.5999999999999996</c:v>
                </c:pt>
                <c:pt idx="55">
                  <c:v>3.5</c:v>
                </c:pt>
                <c:pt idx="56">
                  <c:v>3.3999999999999995</c:v>
                </c:pt>
                <c:pt idx="57">
                  <c:v>3.3</c:v>
                </c:pt>
                <c:pt idx="58">
                  <c:v>3.1999999999999993</c:v>
                </c:pt>
                <c:pt idx="59">
                  <c:v>3.0999999999999996</c:v>
                </c:pt>
                <c:pt idx="60">
                  <c:v>3</c:v>
                </c:pt>
                <c:pt idx="61">
                  <c:v>2.8999999999999995</c:v>
                </c:pt>
                <c:pt idx="62">
                  <c:v>2.8</c:v>
                </c:pt>
                <c:pt idx="63">
                  <c:v>2.6999999999999993</c:v>
                </c:pt>
                <c:pt idx="64">
                  <c:v>2.5999999999999996</c:v>
                </c:pt>
                <c:pt idx="65">
                  <c:v>2.5</c:v>
                </c:pt>
                <c:pt idx="66">
                  <c:v>2.3999999999999995</c:v>
                </c:pt>
                <c:pt idx="67">
                  <c:v>2.2999999999999998</c:v>
                </c:pt>
                <c:pt idx="68">
                  <c:v>2.1999999999999993</c:v>
                </c:pt>
                <c:pt idx="69">
                  <c:v>2.0999999999999996</c:v>
                </c:pt>
                <c:pt idx="70">
                  <c:v>2</c:v>
                </c:pt>
                <c:pt idx="71">
                  <c:v>1.9000000000000004</c:v>
                </c:pt>
                <c:pt idx="72">
                  <c:v>1.7999999999999989</c:v>
                </c:pt>
                <c:pt idx="73">
                  <c:v>1.6999999999999993</c:v>
                </c:pt>
                <c:pt idx="74">
                  <c:v>1.5999999999999996</c:v>
                </c:pt>
                <c:pt idx="75">
                  <c:v>1.5</c:v>
                </c:pt>
                <c:pt idx="76">
                  <c:v>1.4000000000000004</c:v>
                </c:pt>
                <c:pt idx="77">
                  <c:v>1.2999999999999989</c:v>
                </c:pt>
                <c:pt idx="78">
                  <c:v>1.1999999999999993</c:v>
                </c:pt>
                <c:pt idx="79">
                  <c:v>1.0999999999999996</c:v>
                </c:pt>
                <c:pt idx="80">
                  <c:v>1</c:v>
                </c:pt>
                <c:pt idx="81">
                  <c:v>0.90000000000000036</c:v>
                </c:pt>
                <c:pt idx="82">
                  <c:v>0.79999999999999893</c:v>
                </c:pt>
                <c:pt idx="83">
                  <c:v>0.69999999999999929</c:v>
                </c:pt>
                <c:pt idx="84">
                  <c:v>0.59999999999999964</c:v>
                </c:pt>
                <c:pt idx="85">
                  <c:v>0.5</c:v>
                </c:pt>
                <c:pt idx="86">
                  <c:v>0.39999999999999858</c:v>
                </c:pt>
                <c:pt idx="87">
                  <c:v>0.29999999999999893</c:v>
                </c:pt>
                <c:pt idx="88">
                  <c:v>0.19999999999999929</c:v>
                </c:pt>
                <c:pt idx="89">
                  <c:v>9.9999999999999645E-2</c:v>
                </c:pt>
                <c:pt idx="90">
                  <c:v>0</c:v>
                </c:pt>
              </c:numCache>
            </c:numRef>
          </c:xVal>
          <c:yVal>
            <c:numRef>
              <c:f>'Cálculo dos Links'!$K$70:$K$160</c:f>
              <c:numCache>
                <c:formatCode>General</c:formatCode>
                <c:ptCount val="91"/>
                <c:pt idx="0">
                  <c:v>-57.056843762657934</c:v>
                </c:pt>
                <c:pt idx="1">
                  <c:v>-57.884697465822441</c:v>
                </c:pt>
                <c:pt idx="2">
                  <c:v>-58.640468683610436</c:v>
                </c:pt>
                <c:pt idx="3">
                  <c:v>-59.335710808794673</c:v>
                </c:pt>
                <c:pt idx="4">
                  <c:v>-59.979404476222697</c:v>
                </c:pt>
                <c:pt idx="5">
                  <c:v>-60.578668943771561</c:v>
                </c:pt>
                <c:pt idx="6">
                  <c:v>-61.139243415776434</c:v>
                </c:pt>
                <c:pt idx="7">
                  <c:v>-61.665822190223416</c:v>
                </c:pt>
                <c:pt idx="8">
                  <c:v>-62.162293864724063</c:v>
                </c:pt>
                <c:pt idx="9">
                  <c:v>-62.631915781714518</c:v>
                </c:pt>
                <c:pt idx="10">
                  <c:v>-63.077443675937559</c:v>
                </c:pt>
                <c:pt idx="11">
                  <c:v>-63.501229657336324</c:v>
                </c:pt>
                <c:pt idx="12">
                  <c:v>-63.905297379102066</c:v>
                </c:pt>
                <c:pt idx="13">
                  <c:v>-64.291400483009795</c:v>
                </c:pt>
                <c:pt idx="14">
                  <c:v>-64.661068596890061</c:v>
                </c:pt>
                <c:pt idx="15">
                  <c:v>-65.015643936098684</c:v>
                </c:pt>
                <c:pt idx="16">
                  <c:v>-65.356310722074298</c:v>
                </c:pt>
                <c:pt idx="17">
                  <c:v>-65.68411904583769</c:v>
                </c:pt>
                <c:pt idx="18">
                  <c:v>-66.000004389502323</c:v>
                </c:pt>
                <c:pt idx="19">
                  <c:v>-66.304803720637068</c:v>
                </c:pt>
                <c:pt idx="20">
                  <c:v>-66.599268857051186</c:v>
                </c:pt>
                <c:pt idx="21">
                  <c:v>-66.884077639343388</c:v>
                </c:pt>
                <c:pt idx="22">
                  <c:v>-67.159843329056059</c:v>
                </c:pt>
                <c:pt idx="23">
                  <c:v>-67.427122560215679</c:v>
                </c:pt>
                <c:pt idx="24">
                  <c:v>-67.686422103503048</c:v>
                </c:pt>
                <c:pt idx="25">
                  <c:v>-67.938204649663447</c:v>
                </c:pt>
                <c:pt idx="26">
                  <c:v>-68.182893778003688</c:v>
                </c:pt>
                <c:pt idx="27">
                  <c:v>-68.420878243997834</c:v>
                </c:pt>
                <c:pt idx="28">
                  <c:v>-68.652515694994136</c:v>
                </c:pt>
                <c:pt idx="29">
                  <c:v>-68.878135903187925</c:v>
                </c:pt>
                <c:pt idx="30">
                  <c:v>-69.098043589217184</c:v>
                </c:pt>
                <c:pt idx="31">
                  <c:v>-69.31252089705265</c:v>
                </c:pt>
                <c:pt idx="32">
                  <c:v>-69.521829570615949</c:v>
                </c:pt>
                <c:pt idx="33">
                  <c:v>-69.726212874249669</c:v>
                </c:pt>
                <c:pt idx="34">
                  <c:v>-69.925897292381677</c:v>
                </c:pt>
                <c:pt idx="35">
                  <c:v>-70.121094038164813</c:v>
                </c:pt>
                <c:pt idx="36">
                  <c:v>-70.31200039628942</c:v>
                </c:pt>
                <c:pt idx="37">
                  <c:v>-70.498800921372293</c:v>
                </c:pt>
                <c:pt idx="38">
                  <c:v>-70.681668510169686</c:v>
                </c:pt>
                <c:pt idx="39">
                  <c:v>-70.860765363228211</c:v>
                </c:pt>
                <c:pt idx="40">
                  <c:v>-71.036243849378309</c:v>
                </c:pt>
                <c:pt idx="41">
                  <c:v>-71.208247284616661</c:v>
                </c:pt>
                <c:pt idx="42">
                  <c:v>-71.376910635353923</c:v>
                </c:pt>
                <c:pt idx="43">
                  <c:v>-71.542361154673728</c:v>
                </c:pt>
                <c:pt idx="44">
                  <c:v>-71.704718959117315</c:v>
                </c:pt>
                <c:pt idx="45">
                  <c:v>-71.864097552542816</c:v>
                </c:pt>
                <c:pt idx="46">
                  <c:v>-72.020604302781948</c:v>
                </c:pt>
                <c:pt idx="47">
                  <c:v>-72.174340876107763</c:v>
                </c:pt>
                <c:pt idx="48">
                  <c:v>-72.325403633916693</c:v>
                </c:pt>
                <c:pt idx="49">
                  <c:v>-72.473883995500813</c:v>
                </c:pt>
                <c:pt idx="50">
                  <c:v>-72.619868770330811</c:v>
                </c:pt>
                <c:pt idx="51">
                  <c:v>-72.763440462873277</c:v>
                </c:pt>
                <c:pt idx="52">
                  <c:v>-72.904677552623014</c:v>
                </c:pt>
                <c:pt idx="53">
                  <c:v>-73.043654751729576</c:v>
                </c:pt>
                <c:pt idx="54">
                  <c:v>-73.180443242335684</c:v>
                </c:pt>
                <c:pt idx="55">
                  <c:v>-73.315110895515048</c:v>
                </c:pt>
                <c:pt idx="56">
                  <c:v>-73.447722473495304</c:v>
                </c:pt>
                <c:pt idx="57">
                  <c:v>-73.578339816674472</c:v>
                </c:pt>
                <c:pt idx="58">
                  <c:v>-73.707022016782659</c:v>
                </c:pt>
                <c:pt idx="59">
                  <c:v>-73.833825577403047</c:v>
                </c:pt>
                <c:pt idx="60">
                  <c:v>-73.958804562943072</c:v>
                </c:pt>
                <c:pt idx="61">
                  <c:v>-74.08201073703944</c:v>
                </c:pt>
                <c:pt idx="62">
                  <c:v>-74.203493691283313</c:v>
                </c:pt>
                <c:pt idx="63">
                  <c:v>-74.323300965067062</c:v>
                </c:pt>
                <c:pt idx="64">
                  <c:v>-74.441478157277459</c:v>
                </c:pt>
                <c:pt idx="65">
                  <c:v>-74.558069030491936</c:v>
                </c:pt>
                <c:pt idx="66">
                  <c:v>-74.673115608273761</c:v>
                </c:pt>
                <c:pt idx="67">
                  <c:v>-74.78665826610758</c:v>
                </c:pt>
                <c:pt idx="68">
                  <c:v>-74.89873581646755</c:v>
                </c:pt>
                <c:pt idx="69">
                  <c:v>-75.00938558846677</c:v>
                </c:pt>
                <c:pt idx="70">
                  <c:v>-75.118643502496809</c:v>
                </c:pt>
                <c:pt idx="71">
                  <c:v>-75.226544140230928</c:v>
                </c:pt>
                <c:pt idx="72">
                  <c:v>-75.333120810332275</c:v>
                </c:pt>
                <c:pt idx="73">
                  <c:v>-75.438405610179416</c:v>
                </c:pt>
                <c:pt idx="74">
                  <c:v>-75.542429483895575</c:v>
                </c:pt>
                <c:pt idx="75">
                  <c:v>-75.645222276943798</c:v>
                </c:pt>
                <c:pt idx="76">
                  <c:v>-75.746812787529294</c:v>
                </c:pt>
                <c:pt idx="77">
                  <c:v>-75.847228815030306</c:v>
                </c:pt>
                <c:pt idx="78">
                  <c:v>-75.946497205661302</c:v>
                </c:pt>
                <c:pt idx="79">
                  <c:v>-76.044643895556192</c:v>
                </c:pt>
                <c:pt idx="80">
                  <c:v>-76.141693951444438</c:v>
                </c:pt>
                <c:pt idx="81">
                  <c:v>-76.237671609079811</c:v>
                </c:pt>
                <c:pt idx="82">
                  <c:v>-76.332600309569045</c:v>
                </c:pt>
                <c:pt idx="83">
                  <c:v>-76.42650273373664</c:v>
                </c:pt>
                <c:pt idx="84">
                  <c:v>-76.519400834651918</c:v>
                </c:pt>
                <c:pt idx="85">
                  <c:v>-76.6113158684349</c:v>
                </c:pt>
                <c:pt idx="86">
                  <c:v>-76.702268423449311</c:v>
                </c:pt>
                <c:pt idx="87">
                  <c:v>-76.792278447982838</c:v>
                </c:pt>
                <c:pt idx="88">
                  <c:v>-76.881365276507836</c:v>
                </c:pt>
                <c:pt idx="89">
                  <c:v>-76.969547654608931</c:v>
                </c:pt>
                <c:pt idx="90" formatCode="0.0">
                  <c:v>-77.056843762657934</c:v>
                </c:pt>
              </c:numCache>
            </c:numRef>
          </c:yVal>
          <c:extLst xmlns:c16r2="http://schemas.microsoft.com/office/drawing/2015/06/chart"/>
        </c:ser>
        <c:ser>
          <c:idx val="34"/>
          <c:order val="34"/>
          <c:tx>
            <c:v>Inicio Link Direto</c:v>
          </c:tx>
          <c:spPr>
            <a:ln>
              <a:solidFill>
                <a:schemeClr val="accent3"/>
              </a:solidFill>
              <a:prstDash val="sysDot"/>
            </a:ln>
          </c:spPr>
          <c:marker>
            <c:symbol val="circle"/>
            <c:size val="8"/>
            <c:spPr>
              <a:solidFill>
                <a:schemeClr val="accent1"/>
              </a:solidFill>
            </c:spPr>
          </c:marker>
          <c:dPt>
            <c:idx val="1"/>
            <c:marker>
              <c:symbol val="none"/>
            </c:marker>
            <c:extLst xmlns:c16r2="http://schemas.microsoft.com/office/drawing/2015/06/chart"/>
          </c:dPt>
          <c:dPt>
            <c:idx val="2"/>
            <c:marker>
              <c:symbol val="none"/>
            </c:marker>
            <c:extLst xmlns:c16r2="http://schemas.microsoft.com/office/drawing/2015/06/chart"/>
          </c:dPt>
          <c:dLbls>
            <c:dLbl>
              <c:idx val="0"/>
              <c:layout/>
              <c:showVal val="1"/>
              <c:extLst xmlns:c16r2="http://schemas.microsoft.com/office/drawing/2015/06/chart"/>
            </c:dLbl>
            <c:delete val="1"/>
            <c:extLst xmlns:c16r2="http://schemas.microsoft.com/office/drawing/2015/06/chart"/>
          </c:dLbls>
          <c:xVal>
            <c:numRef>
              <c:f>('Cálculo dos Links'!$D$60,'Cálculo dos Links'!$D$65,'Cálculo dos Links'!$D$70)</c:f>
              <c:numCache>
                <c:formatCode>General</c:formatCode>
                <c:ptCount val="3"/>
                <c:pt idx="0">
                  <c:v>0</c:v>
                </c:pt>
                <c:pt idx="1">
                  <c:v>0.5</c:v>
                </c:pt>
                <c:pt idx="2">
                  <c:v>1</c:v>
                </c:pt>
              </c:numCache>
            </c:numRef>
          </c:xVal>
          <c:yVal>
            <c:numRef>
              <c:f>('Cálculo dos Links'!$E$60,'Cálculo dos Links'!$E$65,'Cálculo dos Links'!$E$70)</c:f>
              <c:numCache>
                <c:formatCode>General</c:formatCode>
                <c:ptCount val="3"/>
                <c:pt idx="0" formatCode="0.0">
                  <c:v>36</c:v>
                </c:pt>
                <c:pt idx="1">
                  <c:v>10.34217803195066</c:v>
                </c:pt>
                <c:pt idx="2">
                  <c:v>4.321578118671038</c:v>
                </c:pt>
              </c:numCache>
            </c:numRef>
          </c:yVal>
          <c:extLst xmlns:c16r2="http://schemas.microsoft.com/office/drawing/2015/06/chart"/>
        </c:ser>
        <c:ser>
          <c:idx val="35"/>
          <c:order val="35"/>
          <c:tx>
            <c:v>Inicio Link Reverso</c:v>
          </c:tx>
          <c:spPr>
            <a:ln>
              <a:solidFill>
                <a:schemeClr val="accent1"/>
              </a:solidFill>
              <a:prstDash val="sysDot"/>
            </a:ln>
          </c:spPr>
          <c:marker>
            <c:symbol val="none"/>
          </c:marker>
          <c:dPt>
            <c:idx val="0"/>
            <c:marker>
              <c:symbol val="circle"/>
              <c:size val="8"/>
              <c:spPr>
                <a:solidFill>
                  <a:srgbClr val="4F81BD"/>
                </a:solidFill>
              </c:spPr>
            </c:marker>
            <c:extLst xmlns:c16r2="http://schemas.microsoft.com/office/drawing/2015/06/chart"/>
          </c:dPt>
          <c:xVal>
            <c:numRef>
              <c:f>('Cálculo dos Links'!$I$60,'Cálculo dos Links'!$I$65,'Cálculo dos Links'!$I$70)</c:f>
              <c:numCache>
                <c:formatCode>General</c:formatCode>
                <c:ptCount val="3"/>
                <c:pt idx="0">
                  <c:v>10</c:v>
                </c:pt>
                <c:pt idx="1">
                  <c:v>9.5</c:v>
                </c:pt>
                <c:pt idx="2">
                  <c:v>9</c:v>
                </c:pt>
              </c:numCache>
            </c:numRef>
          </c:xVal>
          <c:yVal>
            <c:numRef>
              <c:f>('Cálculo dos Links'!$K$60,'Cálculo dos Links'!$K$65,'Cálculo dos Links'!$K$70)</c:f>
              <c:numCache>
                <c:formatCode>General</c:formatCode>
                <c:ptCount val="3"/>
                <c:pt idx="0" formatCode="0.0">
                  <c:v>-25.378421881328975</c:v>
                </c:pt>
                <c:pt idx="1">
                  <c:v>-51.036243849378316</c:v>
                </c:pt>
                <c:pt idx="2">
                  <c:v>-57.056843762657934</c:v>
                </c:pt>
              </c:numCache>
            </c:numRef>
          </c:yVal>
          <c:extLst xmlns:c16r2="http://schemas.microsoft.com/office/drawing/2015/06/chart"/>
        </c:ser>
        <c:ser>
          <c:idx val="36"/>
          <c:order val="36"/>
          <c:tx>
            <c:v>Fresnel</c:v>
          </c:tx>
          <c:spPr>
            <a:ln w="127000" cap="rnd" cmpd="sng">
              <a:solidFill>
                <a:schemeClr val="bg1">
                  <a:lumMod val="85000"/>
                </a:schemeClr>
              </a:solidFill>
              <a:prstDash val="sysDot"/>
              <a:round/>
            </a:ln>
          </c:spPr>
          <c:marker>
            <c:symbol val="none"/>
          </c:marker>
          <c:dPt>
            <c:idx val="0"/>
            <c:spPr>
              <a:ln w="127000" cap="rnd" cmpd="dbl">
                <a:solidFill>
                  <a:schemeClr val="bg1">
                    <a:lumMod val="85000"/>
                  </a:schemeClr>
                </a:solidFill>
                <a:prstDash val="sysDot"/>
                <a:round/>
              </a:ln>
            </c:spPr>
          </c:dPt>
          <c:dLbls>
            <c:dLbl>
              <c:idx val="0"/>
              <c:layout>
                <c:manualLayout>
                  <c:x val="1.3482330185451049E-2"/>
                  <c:y val="0.38307869531336608"/>
                </c:manualLayout>
              </c:layout>
              <c:dLblPos val="l"/>
              <c:showSerName val="1"/>
            </c:dLbl>
            <c:dLbl>
              <c:idx val="1"/>
              <c:delete val="1"/>
            </c:dLbl>
            <c:numFmt formatCode="0.0" sourceLinked="0"/>
            <c:spPr>
              <a:noFill/>
            </c:spPr>
            <c:txPr>
              <a:bodyPr rot="-5400000" vert="horz"/>
              <a:lstStyle/>
              <a:p>
                <a:pPr>
                  <a:defRPr sz="1400" b="0" i="1" u="none">
                    <a:solidFill>
                      <a:schemeClr val="tx1"/>
                    </a:solidFill>
                  </a:defRPr>
                </a:pPr>
                <a:endParaRPr lang="pt-BR"/>
              </a:p>
            </c:txPr>
            <c:dLblPos val="l"/>
            <c:showSerName val="1"/>
          </c:dLbls>
          <c:trendline>
            <c:trendlineType val="linear"/>
          </c:trendline>
          <c:trendline>
            <c:spPr>
              <a:ln w="63500"/>
            </c:spPr>
            <c:trendlineType val="linear"/>
          </c:trendline>
          <c:trendline>
            <c:spPr>
              <a:ln>
                <a:solidFill>
                  <a:schemeClr val="bg1">
                    <a:lumMod val="75000"/>
                  </a:schemeClr>
                </a:solidFill>
              </a:ln>
            </c:spPr>
            <c:trendlineType val="linear"/>
          </c:trendline>
          <c:xVal>
            <c:numRef>
              <c:f>'Cálculo dos Links'!$O$60:$O$61</c:f>
              <c:numCache>
                <c:formatCode>0.00</c:formatCode>
                <c:ptCount val="2"/>
                <c:pt idx="0">
                  <c:v>0.13725000000000001</c:v>
                </c:pt>
                <c:pt idx="1">
                  <c:v>0.13725000000000001</c:v>
                </c:pt>
              </c:numCache>
            </c:numRef>
          </c:xVal>
          <c:yVal>
            <c:numRef>
              <c:f>'Cálculo dos Links'!$N$60:$N$61</c:f>
              <c:numCache>
                <c:formatCode>0.0</c:formatCode>
                <c:ptCount val="2"/>
                <c:pt idx="0">
                  <c:v>36</c:v>
                </c:pt>
                <c:pt idx="1">
                  <c:v>-98</c:v>
                </c:pt>
              </c:numCache>
            </c:numRef>
          </c:yVal>
        </c:ser>
        <c:ser>
          <c:idx val="37"/>
          <c:order val="37"/>
          <c:tx>
            <c:v>Campo Próximo</c:v>
          </c:tx>
          <c:marker>
            <c:symbol val="none"/>
          </c:marker>
          <c:xVal>
            <c:numRef>
              <c:f>'Cálculo dos Links'!$O$60</c:f>
              <c:numCache>
                <c:formatCode>0.00</c:formatCode>
                <c:ptCount val="1"/>
                <c:pt idx="0">
                  <c:v>0.13725000000000001</c:v>
                </c:pt>
              </c:numCache>
            </c:numRef>
          </c:xVal>
          <c:yVal>
            <c:numRef>
              <c:f>'Cálculo dos Links'!$N$61</c:f>
              <c:numCache>
                <c:formatCode>0.0</c:formatCode>
                <c:ptCount val="1"/>
                <c:pt idx="0">
                  <c:v>-98</c:v>
                </c:pt>
              </c:numCache>
            </c:numRef>
          </c:yVal>
        </c:ser>
        <c:ser>
          <c:idx val="38"/>
          <c:order val="38"/>
          <c:tx>
            <c:v>Far Field</c:v>
          </c:tx>
          <c:spPr>
            <a:ln w="127000">
              <a:solidFill>
                <a:srgbClr val="D3D3D3"/>
              </a:solidFill>
              <a:prstDash val="sysDot"/>
            </a:ln>
          </c:spPr>
          <c:marker>
            <c:symbol val="none"/>
          </c:marker>
          <c:dLbls>
            <c:dLbl>
              <c:idx val="0"/>
              <c:layout>
                <c:manualLayout>
                  <c:x val="-1.0770642891193354E-3"/>
                  <c:y val="0.38923205205713463"/>
                </c:manualLayout>
              </c:layout>
              <c:dLblPos val="ctr"/>
              <c:showSerName val="1"/>
            </c:dLbl>
            <c:dLbl>
              <c:idx val="1"/>
              <c:delete val="1"/>
            </c:dLbl>
            <c:txPr>
              <a:bodyPr rot="-5400000" vert="horz"/>
              <a:lstStyle/>
              <a:p>
                <a:pPr>
                  <a:defRPr sz="1400" i="1"/>
                </a:pPr>
                <a:endParaRPr lang="pt-BR"/>
              </a:p>
            </c:txPr>
            <c:dLblPos val="ctr"/>
            <c:showSerName val="1"/>
          </c:dLbls>
          <c:xVal>
            <c:numRef>
              <c:f>'Cálculo dos Links'!$R$60:$R$61</c:f>
              <c:numCache>
                <c:formatCode>0.00</c:formatCode>
                <c:ptCount val="2"/>
                <c:pt idx="0">
                  <c:v>3.2786885245901636</c:v>
                </c:pt>
                <c:pt idx="1">
                  <c:v>3.2786885245901636</c:v>
                </c:pt>
              </c:numCache>
            </c:numRef>
          </c:xVal>
          <c:yVal>
            <c:numRef>
              <c:f>'Cálculo dos Links'!$Q$60:$Q$61</c:f>
              <c:numCache>
                <c:formatCode>0.0</c:formatCode>
                <c:ptCount val="2"/>
                <c:pt idx="0">
                  <c:v>36</c:v>
                </c:pt>
                <c:pt idx="1">
                  <c:v>-98</c:v>
                </c:pt>
              </c:numCache>
            </c:numRef>
          </c:yVal>
        </c:ser>
        <c:axId val="107237376"/>
        <c:axId val="107238912"/>
      </c:scatterChart>
      <c:catAx>
        <c:axId val="107237376"/>
        <c:scaling>
          <c:orientation val="minMax"/>
        </c:scaling>
        <c:delete val="1"/>
        <c:axPos val="b"/>
        <c:numFmt formatCode="0.0" sourceLinked="1"/>
        <c:tickLblPos val="none"/>
        <c:crossAx val="107238912"/>
        <c:crossesAt val="-100"/>
        <c:auto val="1"/>
        <c:lblAlgn val="ctr"/>
        <c:lblOffset val="100"/>
      </c:catAx>
      <c:valAx>
        <c:axId val="107238912"/>
        <c:scaling>
          <c:orientation val="minMax"/>
        </c:scaling>
        <c:axPos val="l"/>
        <c:majorGridlines>
          <c:spPr>
            <a:ln>
              <a:solidFill>
                <a:sysClr val="windowText" lastClr="000000">
                  <a:alpha val="14000"/>
                </a:sysClr>
              </a:solidFill>
              <a:prstDash val="dash"/>
            </a:ln>
          </c:spPr>
        </c:majorGridlines>
        <c:numFmt formatCode="#,##0" sourceLinked="0"/>
        <c:tickLblPos val="nextTo"/>
        <c:crossAx val="107237376"/>
        <c:crosses val="autoZero"/>
        <c:crossBetween val="between"/>
        <c:majorUnit val="5"/>
      </c:valAx>
    </c:plotArea>
    <c:plotVisOnly val="1"/>
    <c:dispBlanksAs val="gap"/>
  </c:chart>
  <c:spPr>
    <a:ln>
      <a:noFill/>
    </a:ln>
  </c:spPr>
  <c:printSettings>
    <c:headerFooter/>
    <c:pageMargins b="0.78740157499999996" l="0.511811024" r="0.511811024" t="0.78740157499999996" header="0.31496062000000458" footer="0.31496062000000458"/>
    <c:pageSetup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BR"/>
  <c:chart>
    <c:plotArea>
      <c:layout>
        <c:manualLayout>
          <c:layoutTarget val="inner"/>
          <c:xMode val="edge"/>
          <c:yMode val="edge"/>
          <c:x val="2.1169853992970979E-2"/>
          <c:y val="0"/>
          <c:w val="0.95544332604758664"/>
          <c:h val="0.65906253477758669"/>
        </c:manualLayout>
      </c:layout>
      <c:barChart>
        <c:barDir val="bar"/>
        <c:grouping val="stacked"/>
        <c:ser>
          <c:idx val="1"/>
          <c:order val="0"/>
          <c:tx>
            <c:strRef>
              <c:f>'Field Calculation II'!$B$21</c:f>
              <c:strCache>
                <c:ptCount val="1"/>
                <c:pt idx="0">
                  <c:v>Reactive NF</c:v>
                </c:pt>
              </c:strCache>
            </c:strRef>
          </c:tx>
          <c:spPr>
            <a:solidFill>
              <a:srgbClr val="FF0000"/>
            </a:solidFill>
            <a:ln>
              <a:noFill/>
            </a:ln>
          </c:spPr>
          <c:val>
            <c:numRef>
              <c:f>'Field Calculation II'!$C$21</c:f>
              <c:numCache>
                <c:formatCode>0.00</c:formatCode>
                <c:ptCount val="1"/>
                <c:pt idx="0">
                  <c:v>5.2183487579025363E-2</c:v>
                </c:pt>
              </c:numCache>
            </c:numRef>
          </c:val>
        </c:ser>
        <c:ser>
          <c:idx val="2"/>
          <c:order val="1"/>
          <c:tx>
            <c:strRef>
              <c:f>'Field Calculation II'!$B$22</c:f>
              <c:strCache>
                <c:ptCount val="1"/>
                <c:pt idx="0">
                  <c:v>Reactive and Radiating</c:v>
                </c:pt>
              </c:strCache>
            </c:strRef>
          </c:tx>
          <c:spPr>
            <a:gradFill flip="none" rotWithShape="1">
              <a:gsLst>
                <a:gs pos="0">
                  <a:srgbClr val="FF0000">
                    <a:alpha val="86000"/>
                  </a:srgbClr>
                </a:gs>
                <a:gs pos="47000">
                  <a:srgbClr val="7ABC32"/>
                </a:gs>
                <a:gs pos="100000">
                  <a:srgbClr val="A5C25E"/>
                </a:gs>
              </a:gsLst>
              <a:lin ang="0" scaled="0"/>
              <a:tileRect/>
            </a:gradFill>
          </c:spPr>
          <c:dLbls>
            <c:showSerName val="1"/>
          </c:dLbls>
          <c:val>
            <c:numRef>
              <c:f>'Field Calculation II'!$D$22</c:f>
              <c:numCache>
                <c:formatCode>0.00</c:formatCode>
                <c:ptCount val="1"/>
                <c:pt idx="0">
                  <c:v>8.5066512420974655E-2</c:v>
                </c:pt>
              </c:numCache>
            </c:numRef>
          </c:val>
        </c:ser>
        <c:ser>
          <c:idx val="3"/>
          <c:order val="2"/>
          <c:tx>
            <c:strRef>
              <c:f>'Field Calculation II'!$B$23</c:f>
              <c:strCache>
                <c:ptCount val="1"/>
                <c:pt idx="0">
                  <c:v>Radiating</c:v>
                </c:pt>
              </c:strCache>
            </c:strRef>
          </c:tx>
          <c:spPr>
            <a:gradFill flip="none" rotWithShape="1">
              <a:gsLst>
                <a:gs pos="100000">
                  <a:srgbClr val="9BBB59"/>
                </a:gs>
                <a:gs pos="100000">
                  <a:srgbClr val="92D050"/>
                </a:gs>
                <a:gs pos="100000">
                  <a:srgbClr val="92D050"/>
                </a:gs>
              </a:gsLst>
              <a:lin ang="600000" scaled="0"/>
              <a:tileRect/>
            </a:gradFill>
          </c:spPr>
          <c:dLbls>
            <c:dLbl>
              <c:idx val="0"/>
              <c:layout>
                <c:manualLayout>
                  <c:x val="0.13295020173811511"/>
                  <c:y val="0"/>
                </c:manualLayout>
              </c:layout>
              <c:showSerName val="1"/>
            </c:dLbl>
            <c:showSerName val="1"/>
          </c:dLbls>
          <c:val>
            <c:numRef>
              <c:f>'Field Calculation II'!$E$23</c:f>
              <c:numCache>
                <c:formatCode>0.00</c:formatCode>
                <c:ptCount val="1"/>
                <c:pt idx="0">
                  <c:v>0.84635655737704918</c:v>
                </c:pt>
              </c:numCache>
            </c:numRef>
          </c:val>
        </c:ser>
        <c:ser>
          <c:idx val="4"/>
          <c:order val="3"/>
          <c:tx>
            <c:strRef>
              <c:f>'Field Calculation II'!$B$24</c:f>
              <c:strCache>
                <c:ptCount val="1"/>
                <c:pt idx="0">
                  <c:v>Far Field</c:v>
                </c:pt>
              </c:strCache>
            </c:strRef>
          </c:tx>
          <c:spPr>
            <a:gradFill flip="none" rotWithShape="1">
              <a:gsLst>
                <a:gs pos="16000">
                  <a:srgbClr val="9BBB59"/>
                </a:gs>
                <a:gs pos="100000">
                  <a:srgbClr val="1F497D"/>
                </a:gs>
                <a:gs pos="100000">
                  <a:srgbClr val="92D050"/>
                </a:gs>
              </a:gsLst>
              <a:lin ang="0" scaled="0"/>
              <a:tileRect/>
            </a:gradFill>
          </c:spPr>
          <c:dLbls>
            <c:dLbl>
              <c:idx val="0"/>
              <c:layout>
                <c:manualLayout>
                  <c:x val="4.0194247037104572E-2"/>
                  <c:y val="-9.4591806561991724E-3"/>
                </c:manualLayout>
              </c:layout>
              <c:showSerName val="1"/>
            </c:dLbl>
            <c:showSerName val="1"/>
          </c:dLbls>
          <c:val>
            <c:numRef>
              <c:f>'Field Calculation II'!$F$24</c:f>
              <c:numCache>
                <c:formatCode>0.00</c:formatCode>
                <c:ptCount val="1"/>
                <c:pt idx="0">
                  <c:v>2.2950819672131146</c:v>
                </c:pt>
              </c:numCache>
            </c:numRef>
          </c:val>
        </c:ser>
        <c:overlap val="100"/>
        <c:axId val="107295872"/>
        <c:axId val="107297408"/>
      </c:barChart>
      <c:catAx>
        <c:axId val="107295872"/>
        <c:scaling>
          <c:orientation val="minMax"/>
        </c:scaling>
        <c:delete val="1"/>
        <c:axPos val="l"/>
        <c:tickLblPos val="none"/>
        <c:crossAx val="107297408"/>
        <c:crosses val="autoZero"/>
        <c:auto val="1"/>
        <c:lblAlgn val="ctr"/>
        <c:lblOffset val="100"/>
      </c:catAx>
      <c:valAx>
        <c:axId val="107297408"/>
        <c:scaling>
          <c:orientation val="minMax"/>
          <c:min val="0"/>
        </c:scaling>
        <c:axPos val="b"/>
        <c:majorGridlines>
          <c:spPr>
            <a:ln>
              <a:solidFill>
                <a:srgbClr val="D3D3D3">
                  <a:alpha val="7000"/>
                </a:srgbClr>
              </a:solidFill>
            </a:ln>
          </c:spPr>
        </c:majorGridlines>
        <c:minorGridlines>
          <c:spPr>
            <a:ln>
              <a:solidFill>
                <a:schemeClr val="bg1"/>
              </a:solidFill>
            </a:ln>
          </c:spPr>
        </c:minorGridlines>
        <c:numFmt formatCode="0.00" sourceLinked="1"/>
        <c:tickLblPos val="nextTo"/>
        <c:crossAx val="107295872"/>
        <c:crosses val="autoZero"/>
        <c:crossBetween val="between"/>
      </c:valAx>
    </c:plotArea>
    <c:plotVisOnly val="1"/>
  </c:chart>
  <c:spPr>
    <a:ln>
      <a:noFill/>
    </a:ln>
  </c:spPr>
  <c:txPr>
    <a:bodyPr/>
    <a:lstStyle/>
    <a:p>
      <a:pPr>
        <a:defRPr baseline="0"/>
      </a:pPr>
      <a:endParaRPr lang="pt-BR"/>
    </a:p>
  </c:txPr>
  <c:printSettings>
    <c:headerFooter/>
    <c:pageMargins b="0.78740157499999996" l="0.511811024" r="0.511811024" t="0.78740157499999996" header="0.31496062000000458" footer="0.31496062000000458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BR"/>
  <c:chart>
    <c:plotArea>
      <c:layout>
        <c:manualLayout>
          <c:layoutTarget val="inner"/>
          <c:xMode val="edge"/>
          <c:yMode val="edge"/>
          <c:x val="2.1161924359860668E-2"/>
          <c:y val="4.3572984749455394E-3"/>
          <c:w val="0.95544332604758664"/>
          <c:h val="0.87032199406446764"/>
        </c:manualLayout>
      </c:layout>
      <c:barChart>
        <c:barDir val="bar"/>
        <c:grouping val="stacked"/>
        <c:ser>
          <c:idx val="1"/>
          <c:order val="0"/>
          <c:tx>
            <c:strRef>
              <c:f>'Field Calculation II'!$B$21</c:f>
              <c:strCache>
                <c:ptCount val="1"/>
                <c:pt idx="0">
                  <c:v>Reactive NF</c:v>
                </c:pt>
              </c:strCache>
            </c:strRef>
          </c:tx>
          <c:spPr>
            <a:solidFill>
              <a:srgbClr val="FF0000"/>
            </a:solidFill>
            <a:ln>
              <a:noFill/>
            </a:ln>
          </c:spPr>
          <c:val>
            <c:numRef>
              <c:f>'Field Calculation II'!$C$21</c:f>
              <c:numCache>
                <c:formatCode>0.00</c:formatCode>
                <c:ptCount val="1"/>
                <c:pt idx="0">
                  <c:v>5.2183487579025363E-2</c:v>
                </c:pt>
              </c:numCache>
            </c:numRef>
          </c:val>
        </c:ser>
        <c:ser>
          <c:idx val="2"/>
          <c:order val="1"/>
          <c:tx>
            <c:strRef>
              <c:f>'Field Calculation II'!$B$22</c:f>
              <c:strCache>
                <c:ptCount val="1"/>
                <c:pt idx="0">
                  <c:v>Reactive and Radiating</c:v>
                </c:pt>
              </c:strCache>
            </c:strRef>
          </c:tx>
          <c:spPr>
            <a:gradFill flip="none" rotWithShape="1">
              <a:gsLst>
                <a:gs pos="0">
                  <a:srgbClr val="FF0000">
                    <a:alpha val="86000"/>
                  </a:srgbClr>
                </a:gs>
                <a:gs pos="47000">
                  <a:srgbClr val="7ABC32"/>
                </a:gs>
                <a:gs pos="100000">
                  <a:srgbClr val="A5C25E"/>
                </a:gs>
              </a:gsLst>
              <a:lin ang="0" scaled="0"/>
              <a:tileRect/>
            </a:gradFill>
          </c:spPr>
          <c:dLbls>
            <c:showSerName val="1"/>
          </c:dLbls>
          <c:val>
            <c:numRef>
              <c:f>'Field Calculation II'!$D$22</c:f>
              <c:numCache>
                <c:formatCode>0.00</c:formatCode>
                <c:ptCount val="1"/>
                <c:pt idx="0">
                  <c:v>8.5066512420974655E-2</c:v>
                </c:pt>
              </c:numCache>
            </c:numRef>
          </c:val>
        </c:ser>
        <c:ser>
          <c:idx val="3"/>
          <c:order val="2"/>
          <c:tx>
            <c:strRef>
              <c:f>'Field Calculation II'!$B$23</c:f>
              <c:strCache>
                <c:ptCount val="1"/>
                <c:pt idx="0">
                  <c:v>Radiating</c:v>
                </c:pt>
              </c:strCache>
            </c:strRef>
          </c:tx>
          <c:spPr>
            <a:gradFill flip="none" rotWithShape="1">
              <a:gsLst>
                <a:gs pos="100000">
                  <a:srgbClr val="9BBB59"/>
                </a:gs>
                <a:gs pos="100000">
                  <a:srgbClr val="92D050"/>
                </a:gs>
                <a:gs pos="100000">
                  <a:srgbClr val="92D050"/>
                </a:gs>
              </a:gsLst>
              <a:lin ang="600000" scaled="0"/>
              <a:tileRect/>
            </a:gradFill>
          </c:spPr>
          <c:dLbls>
            <c:dLbl>
              <c:idx val="0"/>
              <c:layout>
                <c:manualLayout>
                  <c:x val="0.13295020173811511"/>
                  <c:y val="0"/>
                </c:manualLayout>
              </c:layout>
              <c:showSerName val="1"/>
            </c:dLbl>
            <c:showSerName val="1"/>
          </c:dLbls>
          <c:val>
            <c:numRef>
              <c:f>'Field Calculation II'!$E$23</c:f>
              <c:numCache>
                <c:formatCode>0.00</c:formatCode>
                <c:ptCount val="1"/>
                <c:pt idx="0">
                  <c:v>0.84635655737704918</c:v>
                </c:pt>
              </c:numCache>
            </c:numRef>
          </c:val>
        </c:ser>
        <c:ser>
          <c:idx val="4"/>
          <c:order val="3"/>
          <c:tx>
            <c:strRef>
              <c:f>'Field Calculation II'!$B$24</c:f>
              <c:strCache>
                <c:ptCount val="1"/>
                <c:pt idx="0">
                  <c:v>Far Field</c:v>
                </c:pt>
              </c:strCache>
            </c:strRef>
          </c:tx>
          <c:spPr>
            <a:gradFill flip="none" rotWithShape="1">
              <a:gsLst>
                <a:gs pos="16000">
                  <a:srgbClr val="9BBB59"/>
                </a:gs>
                <a:gs pos="100000">
                  <a:srgbClr val="1F497D"/>
                </a:gs>
                <a:gs pos="100000">
                  <a:srgbClr val="92D050"/>
                </a:gs>
              </a:gsLst>
              <a:lin ang="0" scaled="0"/>
              <a:tileRect/>
            </a:gradFill>
          </c:spPr>
          <c:dLbls>
            <c:dLbl>
              <c:idx val="0"/>
              <c:layout>
                <c:manualLayout>
                  <c:x val="4.0194247037104572E-2"/>
                  <c:y val="-9.4591806561991655E-3"/>
                </c:manualLayout>
              </c:layout>
              <c:showSerName val="1"/>
            </c:dLbl>
            <c:showSerName val="1"/>
          </c:dLbls>
          <c:val>
            <c:numRef>
              <c:f>'Field Calculation II'!$F$24</c:f>
              <c:numCache>
                <c:formatCode>0.00</c:formatCode>
                <c:ptCount val="1"/>
                <c:pt idx="0">
                  <c:v>2.2950819672131146</c:v>
                </c:pt>
              </c:numCache>
            </c:numRef>
          </c:val>
        </c:ser>
        <c:overlap val="100"/>
        <c:axId val="107474304"/>
        <c:axId val="107623552"/>
      </c:barChart>
      <c:catAx>
        <c:axId val="107474304"/>
        <c:scaling>
          <c:orientation val="minMax"/>
        </c:scaling>
        <c:delete val="1"/>
        <c:axPos val="l"/>
        <c:tickLblPos val="none"/>
        <c:crossAx val="107623552"/>
        <c:crosses val="autoZero"/>
        <c:auto val="1"/>
        <c:lblAlgn val="ctr"/>
        <c:lblOffset val="100"/>
      </c:catAx>
      <c:valAx>
        <c:axId val="107623552"/>
        <c:scaling>
          <c:orientation val="minMax"/>
          <c:max val="3.5"/>
          <c:min val="0"/>
        </c:scaling>
        <c:axPos val="b"/>
        <c:majorGridlines>
          <c:spPr>
            <a:ln>
              <a:solidFill>
                <a:srgbClr val="D3D3D3">
                  <a:alpha val="7000"/>
                </a:srgbClr>
              </a:solidFill>
            </a:ln>
          </c:spPr>
        </c:majorGridlines>
        <c:minorGridlines>
          <c:spPr>
            <a:ln>
              <a:solidFill>
                <a:schemeClr val="bg1"/>
              </a:solidFill>
            </a:ln>
          </c:spPr>
        </c:minorGridlines>
        <c:numFmt formatCode="0.00" sourceLinked="1"/>
        <c:tickLblPos val="nextTo"/>
        <c:spPr>
          <a:noFill/>
          <a:ln>
            <a:solidFill>
              <a:schemeClr val="tx1"/>
            </a:solidFill>
          </a:ln>
        </c:spPr>
        <c:crossAx val="107474304"/>
        <c:crosses val="autoZero"/>
        <c:crossBetween val="between"/>
      </c:valAx>
      <c:spPr>
        <a:ln>
          <a:noFill/>
        </a:ln>
      </c:spPr>
    </c:plotArea>
    <c:plotVisOnly val="1"/>
  </c:chart>
  <c:spPr>
    <a:ln>
      <a:noFill/>
    </a:ln>
  </c:spPr>
  <c:txPr>
    <a:bodyPr/>
    <a:lstStyle/>
    <a:p>
      <a:pPr>
        <a:defRPr baseline="0"/>
      </a:pPr>
      <a:endParaRPr lang="pt-BR"/>
    </a:p>
  </c:txPr>
  <c:printSettings>
    <c:headerFooter/>
    <c:pageMargins b="0.78740157499999996" l="0.511811024" r="0.511811024" t="0.78740157499999996" header="0.31496062000000447" footer="0.31496062000000447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BR"/>
  <c:chart>
    <c:plotArea>
      <c:layout>
        <c:manualLayout>
          <c:layoutTarget val="inner"/>
          <c:xMode val="edge"/>
          <c:yMode val="edge"/>
          <c:x val="6.4036357220512832E-2"/>
          <c:y val="0.11419048391421981"/>
          <c:w val="0.92055557312364067"/>
          <c:h val="0.79094612105580642"/>
        </c:manualLayout>
      </c:layout>
      <c:scatterChart>
        <c:scatterStyle val="lineMarker"/>
        <c:ser>
          <c:idx val="0"/>
          <c:order val="0"/>
          <c:tx>
            <c:v>Tag</c:v>
          </c:tx>
          <c:spPr>
            <a:ln w="28575">
              <a:solidFill>
                <a:srgbClr val="4F81BD"/>
              </a:solidFill>
              <a:prstDash val="sysDot"/>
            </a:ln>
          </c:spPr>
          <c:dLbls>
            <c:dLbl>
              <c:idx val="0"/>
              <c:layout/>
              <c:numFmt formatCode="##,#00" sourceLinked="0"/>
              <c:spPr>
                <a:ln w="12700"/>
              </c:spPr>
              <c:txPr>
                <a:bodyPr/>
                <a:lstStyle/>
                <a:p>
                  <a:pPr>
                    <a:defRPr sz="1500" baseline="0"/>
                  </a:pPr>
                  <a:endParaRPr lang="pt-BR"/>
                </a:p>
              </c:txPr>
              <c:dLblPos val="r"/>
              <c:showVal val="1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3E6E-41F5-8031-2925995460D5}"/>
                </c:ext>
              </c:extLst>
            </c:dLbl>
            <c:numFmt formatCode="##,#00" sourceLinked="0"/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1500" baseline="0"/>
                </a:pPr>
                <a:endParaRPr lang="pt-BR"/>
              </a:p>
            </c:txPr>
            <c:dLblPos val="r"/>
            <c:showVal val="1"/>
            <c:separator>, </c:separator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(Beacon!$B$12,Beacon!$B$4)</c:f>
              <c:numCache>
                <c:formatCode>General</c:formatCode>
                <c:ptCount val="2"/>
                <c:pt idx="0">
                  <c:v>0</c:v>
                </c:pt>
                <c:pt idx="1">
                  <c:v>1000</c:v>
                </c:pt>
              </c:numCache>
            </c:numRef>
          </c:xVal>
          <c:yVal>
            <c:numRef>
              <c:f>(Beacon!$B$3,Beacon!$B$7)</c:f>
              <c:numCache>
                <c:formatCode>0.0</c:formatCode>
                <c:ptCount val="2"/>
                <c:pt idx="0" formatCode="General">
                  <c:v>-20</c:v>
                </c:pt>
                <c:pt idx="1">
                  <c:v>-111.67842188132897</c:v>
                </c:pt>
              </c:numCache>
            </c:numRef>
          </c:yVal>
          <c:extLst xmlns:c16r2="http://schemas.microsoft.com/office/drawing/2015/06/chart">
            <c:ext xmlns:c16="http://schemas.microsoft.com/office/drawing/2014/chart" uri="{C3380CC4-5D6E-409C-BE32-E72D297353CC}">
              <c16:uniqueId val="{00000001-3E6E-41F5-8031-2925995460D5}"/>
            </c:ext>
          </c:extLst>
        </c:ser>
        <c:ser>
          <c:idx val="3"/>
          <c:order val="1"/>
          <c:tx>
            <c:v>Tag Threshold</c:v>
          </c:tx>
          <c:spPr>
            <a:ln>
              <a:solidFill>
                <a:srgbClr val="FF0000"/>
              </a:solidFill>
              <a:prstDash val="lgDashDotDot"/>
            </a:ln>
          </c:spPr>
          <c:dPt>
            <c:idx val="1"/>
            <c:marker>
              <c:symbol val="none"/>
            </c:marker>
            <c:extLst xmlns:c16r2="http://schemas.microsoft.com/office/drawing/2015/06/chart">
              <c:ext xmlns:c16="http://schemas.microsoft.com/office/drawing/2014/chart" uri="{C3380CC4-5D6E-409C-BE32-E72D297353CC}">
                <c16:uniqueId val="{00000002-3E6E-41F5-8031-2925995460D5}"/>
              </c:ext>
            </c:extLst>
          </c:dPt>
          <c:dLbls>
            <c:dLbl>
              <c:idx val="1"/>
              <c:delete val="1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3E6E-41F5-8031-2925995460D5}"/>
                </c:ext>
              </c:extLst>
            </c:dLbl>
            <c:spPr>
              <a:noFill/>
              <a:ln>
                <a:noFill/>
              </a:ln>
              <a:effectLst/>
            </c:spPr>
            <c:showVal val="1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(Beacon!$B$12,Beacon!$B$4)</c:f>
              <c:numCache>
                <c:formatCode>General</c:formatCode>
                <c:ptCount val="2"/>
                <c:pt idx="0">
                  <c:v>0</c:v>
                </c:pt>
                <c:pt idx="1">
                  <c:v>1000</c:v>
                </c:pt>
              </c:numCache>
            </c:numRef>
          </c:xVal>
          <c:yVal>
            <c:numRef>
              <c:f>(Beacon!$B$10,Beacon!$B$10)</c:f>
              <c:numCache>
                <c:formatCode>General</c:formatCode>
                <c:ptCount val="2"/>
                <c:pt idx="0">
                  <c:v>-115</c:v>
                </c:pt>
                <c:pt idx="1">
                  <c:v>-115</c:v>
                </c:pt>
              </c:numCache>
            </c:numRef>
          </c:yVal>
          <c:extLst xmlns:c16r2="http://schemas.microsoft.com/office/drawing/2015/06/chart">
            <c:ext xmlns:c16="http://schemas.microsoft.com/office/drawing/2014/chart" uri="{C3380CC4-5D6E-409C-BE32-E72D297353CC}">
              <c16:uniqueId val="{00000003-3E6E-41F5-8031-2925995460D5}"/>
            </c:ext>
          </c:extLst>
        </c:ser>
        <c:ser>
          <c:idx val="6"/>
          <c:order val="2"/>
          <c:tx>
            <c:strRef>
              <c:f>Beacon!$H$21</c:f>
              <c:strCache>
                <c:ptCount val="1"/>
                <c:pt idx="0">
                  <c:v>1000</c:v>
                </c:pt>
              </c:strCache>
            </c:strRef>
          </c:tx>
          <c:marker>
            <c:symbol val="none"/>
          </c:marker>
          <c:dLbls>
            <c:spPr>
              <a:noFill/>
            </c:spPr>
            <c:dLblPos val="b"/>
            <c:showSerName val="1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Beacon!$H$21</c:f>
              <c:numCache>
                <c:formatCode>General</c:formatCode>
                <c:ptCount val="1"/>
                <c:pt idx="0">
                  <c:v>1000</c:v>
                </c:pt>
              </c:numCache>
            </c:numRef>
          </c:xVal>
          <c:yVal>
            <c:numRef>
              <c:f>Beacon!$D$21</c:f>
              <c:numCache>
                <c:formatCode>General</c:formatCode>
                <c:ptCount val="1"/>
                <c:pt idx="0">
                  <c:v>-180</c:v>
                </c:pt>
              </c:numCache>
            </c:numRef>
          </c:yVal>
          <c:extLst xmlns:c16r2="http://schemas.microsoft.com/office/drawing/2015/06/chart">
            <c:ext xmlns:c16="http://schemas.microsoft.com/office/drawing/2014/chart" uri="{C3380CC4-5D6E-409C-BE32-E72D297353CC}">
              <c16:uniqueId val="{00000004-3E6E-41F5-8031-2925995460D5}"/>
            </c:ext>
          </c:extLst>
        </c:ser>
        <c:ser>
          <c:idx val="7"/>
          <c:order val="3"/>
          <c:tx>
            <c:strRef>
              <c:f>Beacon!$H$22</c:f>
              <c:strCache>
                <c:ptCount val="1"/>
                <c:pt idx="0">
                  <c:v>900</c:v>
                </c:pt>
              </c:strCache>
            </c:strRef>
          </c:tx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dLblPos val="b"/>
            <c:showSerName val="1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Beacon!$B$22</c:f>
              <c:numCache>
                <c:formatCode>General</c:formatCode>
                <c:ptCount val="1"/>
                <c:pt idx="0">
                  <c:v>900</c:v>
                </c:pt>
              </c:numCache>
            </c:numRef>
          </c:xVal>
          <c:yVal>
            <c:numRef>
              <c:f>Beacon!$D$22</c:f>
              <c:numCache>
                <c:formatCode>General</c:formatCode>
                <c:ptCount val="1"/>
                <c:pt idx="0">
                  <c:v>-180</c:v>
                </c:pt>
              </c:numCache>
            </c:numRef>
          </c:yVal>
          <c:extLst xmlns:c16r2="http://schemas.microsoft.com/office/drawing/2015/06/chart">
            <c:ext xmlns:c16="http://schemas.microsoft.com/office/drawing/2014/chart" uri="{C3380CC4-5D6E-409C-BE32-E72D297353CC}">
              <c16:uniqueId val="{00000005-3E6E-41F5-8031-2925995460D5}"/>
            </c:ext>
          </c:extLst>
        </c:ser>
        <c:ser>
          <c:idx val="8"/>
          <c:order val="4"/>
          <c:tx>
            <c:strRef>
              <c:f>Beacon!$H$23</c:f>
              <c:strCache>
                <c:ptCount val="1"/>
                <c:pt idx="0">
                  <c:v>800</c:v>
                </c:pt>
              </c:strCache>
            </c:strRef>
          </c:tx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dLblPos val="b"/>
            <c:showSerName val="1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Beacon!$B$23</c:f>
              <c:numCache>
                <c:formatCode>General</c:formatCode>
                <c:ptCount val="1"/>
                <c:pt idx="0">
                  <c:v>800</c:v>
                </c:pt>
              </c:numCache>
            </c:numRef>
          </c:xVal>
          <c:yVal>
            <c:numRef>
              <c:f>Beacon!$D$23</c:f>
              <c:numCache>
                <c:formatCode>General</c:formatCode>
                <c:ptCount val="1"/>
                <c:pt idx="0">
                  <c:v>-180</c:v>
                </c:pt>
              </c:numCache>
            </c:numRef>
          </c:yVal>
          <c:extLst xmlns:c16r2="http://schemas.microsoft.com/office/drawing/2015/06/chart">
            <c:ext xmlns:c16="http://schemas.microsoft.com/office/drawing/2014/chart" uri="{C3380CC4-5D6E-409C-BE32-E72D297353CC}">
              <c16:uniqueId val="{00000006-3E6E-41F5-8031-2925995460D5}"/>
            </c:ext>
          </c:extLst>
        </c:ser>
        <c:ser>
          <c:idx val="9"/>
          <c:order val="5"/>
          <c:tx>
            <c:strRef>
              <c:f>Beacon!$H$24</c:f>
              <c:strCache>
                <c:ptCount val="1"/>
                <c:pt idx="0">
                  <c:v>700</c:v>
                </c:pt>
              </c:strCache>
            </c:strRef>
          </c:tx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dLblPos val="b"/>
            <c:showSerName val="1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Beacon!$B$24</c:f>
              <c:numCache>
                <c:formatCode>General</c:formatCode>
                <c:ptCount val="1"/>
                <c:pt idx="0">
                  <c:v>700</c:v>
                </c:pt>
              </c:numCache>
            </c:numRef>
          </c:xVal>
          <c:yVal>
            <c:numRef>
              <c:f>Beacon!$D$24</c:f>
              <c:numCache>
                <c:formatCode>General</c:formatCode>
                <c:ptCount val="1"/>
                <c:pt idx="0">
                  <c:v>-180</c:v>
                </c:pt>
              </c:numCache>
            </c:numRef>
          </c:yVal>
          <c:extLst xmlns:c16r2="http://schemas.microsoft.com/office/drawing/2015/06/chart">
            <c:ext xmlns:c16="http://schemas.microsoft.com/office/drawing/2014/chart" uri="{C3380CC4-5D6E-409C-BE32-E72D297353CC}">
              <c16:uniqueId val="{00000007-3E6E-41F5-8031-2925995460D5}"/>
            </c:ext>
          </c:extLst>
        </c:ser>
        <c:ser>
          <c:idx val="10"/>
          <c:order val="6"/>
          <c:tx>
            <c:strRef>
              <c:f>Beacon!$H$25</c:f>
              <c:strCache>
                <c:ptCount val="1"/>
                <c:pt idx="0">
                  <c:v>600</c:v>
                </c:pt>
              </c:strCache>
            </c:strRef>
          </c:tx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dLblPos val="b"/>
            <c:showSerName val="1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Beacon!$B$25</c:f>
              <c:numCache>
                <c:formatCode>General</c:formatCode>
                <c:ptCount val="1"/>
                <c:pt idx="0">
                  <c:v>600</c:v>
                </c:pt>
              </c:numCache>
            </c:numRef>
          </c:xVal>
          <c:yVal>
            <c:numRef>
              <c:f>Beacon!$D$25</c:f>
              <c:numCache>
                <c:formatCode>General</c:formatCode>
                <c:ptCount val="1"/>
                <c:pt idx="0">
                  <c:v>-180</c:v>
                </c:pt>
              </c:numCache>
            </c:numRef>
          </c:yVal>
          <c:extLst xmlns:c16r2="http://schemas.microsoft.com/office/drawing/2015/06/chart">
            <c:ext xmlns:c16="http://schemas.microsoft.com/office/drawing/2014/chart" uri="{C3380CC4-5D6E-409C-BE32-E72D297353CC}">
              <c16:uniqueId val="{00000008-3E6E-41F5-8031-2925995460D5}"/>
            </c:ext>
          </c:extLst>
        </c:ser>
        <c:ser>
          <c:idx val="11"/>
          <c:order val="7"/>
          <c:tx>
            <c:strRef>
              <c:f>Beacon!$H$26</c:f>
              <c:strCache>
                <c:ptCount val="1"/>
                <c:pt idx="0">
                  <c:v>500</c:v>
                </c:pt>
              </c:strCache>
            </c:strRef>
          </c:tx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dLblPos val="b"/>
            <c:showSerName val="1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Beacon!$B$26</c:f>
              <c:numCache>
                <c:formatCode>General</c:formatCode>
                <c:ptCount val="1"/>
                <c:pt idx="0">
                  <c:v>500</c:v>
                </c:pt>
              </c:numCache>
            </c:numRef>
          </c:xVal>
          <c:yVal>
            <c:numRef>
              <c:f>Beacon!$D$26</c:f>
              <c:numCache>
                <c:formatCode>General</c:formatCode>
                <c:ptCount val="1"/>
                <c:pt idx="0">
                  <c:v>-180</c:v>
                </c:pt>
              </c:numCache>
            </c:numRef>
          </c:yVal>
          <c:extLst xmlns:c16r2="http://schemas.microsoft.com/office/drawing/2015/06/chart">
            <c:ext xmlns:c16="http://schemas.microsoft.com/office/drawing/2014/chart" uri="{C3380CC4-5D6E-409C-BE32-E72D297353CC}">
              <c16:uniqueId val="{00000009-3E6E-41F5-8031-2925995460D5}"/>
            </c:ext>
          </c:extLst>
        </c:ser>
        <c:ser>
          <c:idx val="12"/>
          <c:order val="8"/>
          <c:tx>
            <c:strRef>
              <c:f>Beacon!$H$27</c:f>
              <c:strCache>
                <c:ptCount val="1"/>
                <c:pt idx="0">
                  <c:v>400</c:v>
                </c:pt>
              </c:strCache>
            </c:strRef>
          </c:tx>
          <c:marker>
            <c:symbol val="none"/>
          </c:marker>
          <c:xVal>
            <c:numRef>
              <c:f>Beacon!$B$27</c:f>
              <c:numCache>
                <c:formatCode>General</c:formatCode>
                <c:ptCount val="1"/>
                <c:pt idx="0">
                  <c:v>400</c:v>
                </c:pt>
              </c:numCache>
            </c:numRef>
          </c:xVal>
          <c:yVal>
            <c:numRef>
              <c:f>Beacon!$D$27</c:f>
              <c:numCache>
                <c:formatCode>General</c:formatCode>
                <c:ptCount val="1"/>
                <c:pt idx="0">
                  <c:v>-180</c:v>
                </c:pt>
              </c:numCache>
            </c:numRef>
          </c:yVal>
          <c:extLst xmlns:c16r2="http://schemas.microsoft.com/office/drawing/2015/06/chart">
            <c:ext xmlns:c16="http://schemas.microsoft.com/office/drawing/2014/chart" uri="{C3380CC4-5D6E-409C-BE32-E72D297353CC}">
              <c16:uniqueId val="{0000000A-3E6E-41F5-8031-2925995460D5}"/>
            </c:ext>
          </c:extLst>
        </c:ser>
        <c:ser>
          <c:idx val="13"/>
          <c:order val="9"/>
          <c:tx>
            <c:strRef>
              <c:f>Beacon!$H$27</c:f>
              <c:strCache>
                <c:ptCount val="1"/>
                <c:pt idx="0">
                  <c:v>400</c:v>
                </c:pt>
              </c:strCache>
            </c:strRef>
          </c:tx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dLblPos val="b"/>
            <c:showSerName val="1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Beacon!$B$27</c:f>
              <c:numCache>
                <c:formatCode>General</c:formatCode>
                <c:ptCount val="1"/>
                <c:pt idx="0">
                  <c:v>400</c:v>
                </c:pt>
              </c:numCache>
            </c:numRef>
          </c:xVal>
          <c:yVal>
            <c:numRef>
              <c:f>Beacon!$D$27</c:f>
              <c:numCache>
                <c:formatCode>General</c:formatCode>
                <c:ptCount val="1"/>
                <c:pt idx="0">
                  <c:v>-180</c:v>
                </c:pt>
              </c:numCache>
            </c:numRef>
          </c:yVal>
          <c:extLst xmlns:c16r2="http://schemas.microsoft.com/office/drawing/2015/06/chart">
            <c:ext xmlns:c16="http://schemas.microsoft.com/office/drawing/2014/chart" uri="{C3380CC4-5D6E-409C-BE32-E72D297353CC}">
              <c16:uniqueId val="{0000000B-3E6E-41F5-8031-2925995460D5}"/>
            </c:ext>
          </c:extLst>
        </c:ser>
        <c:ser>
          <c:idx val="14"/>
          <c:order val="10"/>
          <c:tx>
            <c:strRef>
              <c:f>Beacon!$H$28</c:f>
              <c:strCache>
                <c:ptCount val="1"/>
                <c:pt idx="0">
                  <c:v>300</c:v>
                </c:pt>
              </c:strCache>
            </c:strRef>
          </c:tx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dLblPos val="b"/>
            <c:showSerName val="1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Beacon!$B$28</c:f>
              <c:numCache>
                <c:formatCode>General</c:formatCode>
                <c:ptCount val="1"/>
                <c:pt idx="0">
                  <c:v>300</c:v>
                </c:pt>
              </c:numCache>
            </c:numRef>
          </c:xVal>
          <c:yVal>
            <c:numRef>
              <c:f>Beacon!$D$28</c:f>
              <c:numCache>
                <c:formatCode>General</c:formatCode>
                <c:ptCount val="1"/>
                <c:pt idx="0">
                  <c:v>-180</c:v>
                </c:pt>
              </c:numCache>
            </c:numRef>
          </c:yVal>
          <c:extLst xmlns:c16r2="http://schemas.microsoft.com/office/drawing/2015/06/chart">
            <c:ext xmlns:c16="http://schemas.microsoft.com/office/drawing/2014/chart" uri="{C3380CC4-5D6E-409C-BE32-E72D297353CC}">
              <c16:uniqueId val="{0000000C-3E6E-41F5-8031-2925995460D5}"/>
            </c:ext>
          </c:extLst>
        </c:ser>
        <c:ser>
          <c:idx val="15"/>
          <c:order val="11"/>
          <c:tx>
            <c:strRef>
              <c:f>Beacon!$H$29</c:f>
              <c:strCache>
                <c:ptCount val="1"/>
                <c:pt idx="0">
                  <c:v>200</c:v>
                </c:pt>
              </c:strCache>
            </c:strRef>
          </c:tx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dLblPos val="b"/>
            <c:showSerName val="1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Beacon!$B$29</c:f>
              <c:numCache>
                <c:formatCode>General</c:formatCode>
                <c:ptCount val="1"/>
                <c:pt idx="0">
                  <c:v>200</c:v>
                </c:pt>
              </c:numCache>
            </c:numRef>
          </c:xVal>
          <c:yVal>
            <c:numRef>
              <c:f>Beacon!$D$29</c:f>
              <c:numCache>
                <c:formatCode>General</c:formatCode>
                <c:ptCount val="1"/>
                <c:pt idx="0">
                  <c:v>-180</c:v>
                </c:pt>
              </c:numCache>
            </c:numRef>
          </c:yVal>
          <c:extLst xmlns:c16r2="http://schemas.microsoft.com/office/drawing/2015/06/chart">
            <c:ext xmlns:c16="http://schemas.microsoft.com/office/drawing/2014/chart" uri="{C3380CC4-5D6E-409C-BE32-E72D297353CC}">
              <c16:uniqueId val="{0000000D-3E6E-41F5-8031-2925995460D5}"/>
            </c:ext>
          </c:extLst>
        </c:ser>
        <c:ser>
          <c:idx val="16"/>
          <c:order val="12"/>
          <c:tx>
            <c:strRef>
              <c:f>Beacon!$H$30</c:f>
              <c:strCache>
                <c:ptCount val="1"/>
                <c:pt idx="0">
                  <c:v>100</c:v>
                </c:pt>
              </c:strCache>
            </c:strRef>
          </c:tx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dLblPos val="b"/>
            <c:showSerName val="1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Beacon!$B$30</c:f>
              <c:numCache>
                <c:formatCode>General</c:formatCode>
                <c:ptCount val="1"/>
                <c:pt idx="0">
                  <c:v>100</c:v>
                </c:pt>
              </c:numCache>
            </c:numRef>
          </c:xVal>
          <c:yVal>
            <c:numRef>
              <c:f>Beacon!$D$31</c:f>
              <c:numCache>
                <c:formatCode>General</c:formatCode>
                <c:ptCount val="1"/>
                <c:pt idx="0">
                  <c:v>-180</c:v>
                </c:pt>
              </c:numCache>
            </c:numRef>
          </c:yVal>
          <c:extLst xmlns:c16r2="http://schemas.microsoft.com/office/drawing/2015/06/chart">
            <c:ext xmlns:c16="http://schemas.microsoft.com/office/drawing/2014/chart" uri="{C3380CC4-5D6E-409C-BE32-E72D297353CC}">
              <c16:uniqueId val="{0000000E-3E6E-41F5-8031-2925995460D5}"/>
            </c:ext>
          </c:extLst>
        </c:ser>
        <c:ser>
          <c:idx val="17"/>
          <c:order val="13"/>
          <c:tx>
            <c:v>EixoX</c:v>
          </c:tx>
          <c:spPr>
            <a:ln>
              <a:solidFill>
                <a:schemeClr val="tx1"/>
              </a:solidFill>
            </a:ln>
          </c:spPr>
          <c:marker>
            <c:symbol val="x"/>
            <c:size val="7"/>
            <c:spPr>
              <a:solidFill>
                <a:srgbClr val="4F81BD"/>
              </a:solidFill>
            </c:spPr>
          </c:marker>
          <c:trendline>
            <c:trendlineType val="linear"/>
          </c:trendline>
          <c:xVal>
            <c:numRef>
              <c:f>Beacon!$B$21:$B$31</c:f>
              <c:numCache>
                <c:formatCode>General</c:formatCode>
                <c:ptCount val="11"/>
                <c:pt idx="0">
                  <c:v>1000</c:v>
                </c:pt>
                <c:pt idx="1">
                  <c:v>900</c:v>
                </c:pt>
                <c:pt idx="2">
                  <c:v>800</c:v>
                </c:pt>
                <c:pt idx="3">
                  <c:v>700</c:v>
                </c:pt>
                <c:pt idx="4">
                  <c:v>600</c:v>
                </c:pt>
                <c:pt idx="5">
                  <c:v>500</c:v>
                </c:pt>
                <c:pt idx="6">
                  <c:v>400</c:v>
                </c:pt>
                <c:pt idx="7">
                  <c:v>300</c:v>
                </c:pt>
                <c:pt idx="8">
                  <c:v>200</c:v>
                </c:pt>
                <c:pt idx="9">
                  <c:v>100</c:v>
                </c:pt>
                <c:pt idx="10">
                  <c:v>0</c:v>
                </c:pt>
              </c:numCache>
            </c:numRef>
          </c:xVal>
          <c:yVal>
            <c:numRef>
              <c:f>Beacon!$D$21:$D$31</c:f>
              <c:numCache>
                <c:formatCode>General</c:formatCode>
                <c:ptCount val="11"/>
                <c:pt idx="0">
                  <c:v>-180</c:v>
                </c:pt>
                <c:pt idx="1">
                  <c:v>-180</c:v>
                </c:pt>
                <c:pt idx="2">
                  <c:v>-180</c:v>
                </c:pt>
                <c:pt idx="3">
                  <c:v>-180</c:v>
                </c:pt>
                <c:pt idx="4">
                  <c:v>-180</c:v>
                </c:pt>
                <c:pt idx="5">
                  <c:v>-180</c:v>
                </c:pt>
                <c:pt idx="6">
                  <c:v>-180</c:v>
                </c:pt>
                <c:pt idx="7">
                  <c:v>-180</c:v>
                </c:pt>
                <c:pt idx="8">
                  <c:v>-180</c:v>
                </c:pt>
                <c:pt idx="9">
                  <c:v>-180</c:v>
                </c:pt>
                <c:pt idx="10">
                  <c:v>-180</c:v>
                </c:pt>
              </c:numCache>
            </c:numRef>
          </c:yVal>
          <c:extLst xmlns:c16r2="http://schemas.microsoft.com/office/drawing/2015/06/chart">
            <c:ext xmlns:c16="http://schemas.microsoft.com/office/drawing/2014/chart" uri="{C3380CC4-5D6E-409C-BE32-E72D297353CC}">
              <c16:uniqueId val="{00000010-3E6E-41F5-8031-2925995460D5}"/>
            </c:ext>
          </c:extLst>
        </c:ser>
        <c:ser>
          <c:idx val="18"/>
          <c:order val="14"/>
          <c:tx>
            <c:v>Grade1</c:v>
          </c:tx>
          <c:spPr>
            <a:ln>
              <a:prstDash val="sysDot"/>
            </a:ln>
          </c:spPr>
          <c:marker>
            <c:symbol val="none"/>
          </c:marker>
          <c:xVal>
            <c:numRef>
              <c:f>Plan1!$B$30,Plan1!$B$30</c:f>
              <c:numCache>
                <c:formatCode>General</c:formatCode>
                <c:ptCount val="2"/>
                <c:pt idx="0">
                  <c:v>100</c:v>
                </c:pt>
                <c:pt idx="1">
                  <c:v>100</c:v>
                </c:pt>
              </c:numCache>
            </c:numRef>
          </c:xVal>
          <c:yVal>
            <c:numRef>
              <c:f>Plan1!$B$3,Plan1!$D$30</c:f>
              <c:numCache>
                <c:formatCode>General</c:formatCode>
                <c:ptCount val="2"/>
                <c:pt idx="0">
                  <c:v>-30</c:v>
                </c:pt>
                <c:pt idx="1">
                  <c:v>-180</c:v>
                </c:pt>
              </c:numCache>
            </c:numRef>
          </c:yVal>
          <c:extLst xmlns:c16r2="http://schemas.microsoft.com/office/drawing/2015/06/chart">
            <c:ext xmlns:c16="http://schemas.microsoft.com/office/drawing/2014/chart" uri="{C3380CC4-5D6E-409C-BE32-E72D297353CC}">
              <c16:uniqueId val="{00000011-3E6E-41F5-8031-2925995460D5}"/>
            </c:ext>
          </c:extLst>
        </c:ser>
        <c:ser>
          <c:idx val="19"/>
          <c:order val="15"/>
          <c:tx>
            <c:v>Grade2</c:v>
          </c:tx>
          <c:spPr>
            <a:ln>
              <a:solidFill>
                <a:srgbClr val="4F81BD">
                  <a:tint val="58000"/>
                  <a:shade val="95000"/>
                  <a:satMod val="105000"/>
                </a:srgbClr>
              </a:solidFill>
              <a:prstDash val="sysDot"/>
            </a:ln>
          </c:spPr>
          <c:marker>
            <c:symbol val="none"/>
          </c:marker>
          <c:xVal>
            <c:numRef>
              <c:f>Plan1!$B$29,Plan1!$B$29</c:f>
              <c:numCache>
                <c:formatCode>General</c:formatCode>
                <c:ptCount val="2"/>
                <c:pt idx="0">
                  <c:v>200</c:v>
                </c:pt>
                <c:pt idx="1">
                  <c:v>200</c:v>
                </c:pt>
              </c:numCache>
            </c:numRef>
          </c:xVal>
          <c:yVal>
            <c:numRef>
              <c:f>Plan1!$B$3,Plan1!$D$30</c:f>
              <c:numCache>
                <c:formatCode>General</c:formatCode>
                <c:ptCount val="2"/>
                <c:pt idx="0">
                  <c:v>-30</c:v>
                </c:pt>
                <c:pt idx="1">
                  <c:v>-180</c:v>
                </c:pt>
              </c:numCache>
            </c:numRef>
          </c:yVal>
          <c:extLst xmlns:c16r2="http://schemas.microsoft.com/office/drawing/2015/06/chart">
            <c:ext xmlns:c16="http://schemas.microsoft.com/office/drawing/2014/chart" uri="{C3380CC4-5D6E-409C-BE32-E72D297353CC}">
              <c16:uniqueId val="{00000012-3E6E-41F5-8031-2925995460D5}"/>
            </c:ext>
          </c:extLst>
        </c:ser>
        <c:ser>
          <c:idx val="21"/>
          <c:order val="16"/>
          <c:tx>
            <c:v>Grade4</c:v>
          </c:tx>
          <c:spPr>
            <a:ln>
              <a:solidFill>
                <a:srgbClr val="4F81BD">
                  <a:tint val="58000"/>
                  <a:shade val="95000"/>
                  <a:satMod val="105000"/>
                </a:srgbClr>
              </a:solidFill>
              <a:prstDash val="sysDot"/>
            </a:ln>
          </c:spPr>
          <c:marker>
            <c:symbol val="none"/>
          </c:marker>
          <c:xVal>
            <c:numRef>
              <c:f>Plan1!$B$27,Plan1!$B$27</c:f>
              <c:numCache>
                <c:formatCode>General</c:formatCode>
                <c:ptCount val="2"/>
                <c:pt idx="0">
                  <c:v>400</c:v>
                </c:pt>
                <c:pt idx="1">
                  <c:v>400</c:v>
                </c:pt>
              </c:numCache>
            </c:numRef>
          </c:xVal>
          <c:yVal>
            <c:numRef>
              <c:f>Plan1!$B$3,Plan1!$D$27</c:f>
              <c:numCache>
                <c:formatCode>General</c:formatCode>
                <c:ptCount val="2"/>
                <c:pt idx="0">
                  <c:v>-30</c:v>
                </c:pt>
                <c:pt idx="1">
                  <c:v>-180</c:v>
                </c:pt>
              </c:numCache>
            </c:numRef>
          </c:yVal>
          <c:extLst xmlns:c16r2="http://schemas.microsoft.com/office/drawing/2015/06/chart">
            <c:ext xmlns:c16="http://schemas.microsoft.com/office/drawing/2014/chart" uri="{C3380CC4-5D6E-409C-BE32-E72D297353CC}">
              <c16:uniqueId val="{00000013-3E6E-41F5-8031-2925995460D5}"/>
            </c:ext>
          </c:extLst>
        </c:ser>
        <c:ser>
          <c:idx val="22"/>
          <c:order val="17"/>
          <c:tx>
            <c:v>Grade5</c:v>
          </c:tx>
          <c:spPr>
            <a:ln>
              <a:solidFill>
                <a:srgbClr val="4F81BD">
                  <a:tint val="58000"/>
                  <a:shade val="95000"/>
                  <a:satMod val="105000"/>
                </a:srgbClr>
              </a:solidFill>
              <a:prstDash val="sysDot"/>
            </a:ln>
          </c:spPr>
          <c:marker>
            <c:symbol val="none"/>
          </c:marker>
          <c:xVal>
            <c:numRef>
              <c:f>Plan1!$B$26,Plan1!$B$26</c:f>
              <c:numCache>
                <c:formatCode>General</c:formatCode>
                <c:ptCount val="2"/>
                <c:pt idx="0">
                  <c:v>500</c:v>
                </c:pt>
                <c:pt idx="1">
                  <c:v>500</c:v>
                </c:pt>
              </c:numCache>
            </c:numRef>
          </c:xVal>
          <c:yVal>
            <c:numRef>
              <c:f>Plan1!$B$3,Plan1!$D$26</c:f>
              <c:numCache>
                <c:formatCode>General</c:formatCode>
                <c:ptCount val="2"/>
                <c:pt idx="0">
                  <c:v>-30</c:v>
                </c:pt>
                <c:pt idx="1">
                  <c:v>-180</c:v>
                </c:pt>
              </c:numCache>
            </c:numRef>
          </c:yVal>
          <c:extLst xmlns:c16r2="http://schemas.microsoft.com/office/drawing/2015/06/chart">
            <c:ext xmlns:c16="http://schemas.microsoft.com/office/drawing/2014/chart" uri="{C3380CC4-5D6E-409C-BE32-E72D297353CC}">
              <c16:uniqueId val="{00000014-3E6E-41F5-8031-2925995460D5}"/>
            </c:ext>
          </c:extLst>
        </c:ser>
        <c:ser>
          <c:idx val="23"/>
          <c:order val="18"/>
          <c:tx>
            <c:v>Grade6</c:v>
          </c:tx>
          <c:spPr>
            <a:ln>
              <a:solidFill>
                <a:srgbClr val="4F81BD">
                  <a:tint val="58000"/>
                  <a:shade val="95000"/>
                  <a:satMod val="105000"/>
                </a:srgbClr>
              </a:solidFill>
              <a:prstDash val="sysDot"/>
            </a:ln>
          </c:spPr>
          <c:marker>
            <c:symbol val="none"/>
          </c:marker>
          <c:xVal>
            <c:numRef>
              <c:f>Plan1!$B$25,Plan1!$B$25</c:f>
              <c:numCache>
                <c:formatCode>General</c:formatCode>
                <c:ptCount val="2"/>
                <c:pt idx="0">
                  <c:v>600</c:v>
                </c:pt>
                <c:pt idx="1">
                  <c:v>600</c:v>
                </c:pt>
              </c:numCache>
            </c:numRef>
          </c:xVal>
          <c:yVal>
            <c:numRef>
              <c:f>Plan1!$B$3,Plan1!$D$25</c:f>
              <c:numCache>
                <c:formatCode>General</c:formatCode>
                <c:ptCount val="2"/>
                <c:pt idx="0">
                  <c:v>-30</c:v>
                </c:pt>
                <c:pt idx="1">
                  <c:v>-180</c:v>
                </c:pt>
              </c:numCache>
            </c:numRef>
          </c:yVal>
          <c:extLst xmlns:c16r2="http://schemas.microsoft.com/office/drawing/2015/06/chart">
            <c:ext xmlns:c16="http://schemas.microsoft.com/office/drawing/2014/chart" uri="{C3380CC4-5D6E-409C-BE32-E72D297353CC}">
              <c16:uniqueId val="{00000015-3E6E-41F5-8031-2925995460D5}"/>
            </c:ext>
          </c:extLst>
        </c:ser>
        <c:ser>
          <c:idx val="24"/>
          <c:order val="19"/>
          <c:tx>
            <c:v>Grade7</c:v>
          </c:tx>
          <c:spPr>
            <a:ln>
              <a:solidFill>
                <a:srgbClr val="4F81BD">
                  <a:tint val="58000"/>
                  <a:shade val="95000"/>
                  <a:satMod val="105000"/>
                </a:srgbClr>
              </a:solidFill>
              <a:prstDash val="sysDot"/>
            </a:ln>
          </c:spPr>
          <c:marker>
            <c:symbol val="none"/>
          </c:marker>
          <c:xVal>
            <c:numRef>
              <c:f>Plan1!$B$24,Plan1!$B$24</c:f>
              <c:numCache>
                <c:formatCode>General</c:formatCode>
                <c:ptCount val="2"/>
                <c:pt idx="0">
                  <c:v>700</c:v>
                </c:pt>
                <c:pt idx="1">
                  <c:v>700</c:v>
                </c:pt>
              </c:numCache>
            </c:numRef>
          </c:xVal>
          <c:yVal>
            <c:numRef>
              <c:f>Plan1!$B$3,Plan1!$D$24</c:f>
              <c:numCache>
                <c:formatCode>General</c:formatCode>
                <c:ptCount val="2"/>
                <c:pt idx="0">
                  <c:v>-30</c:v>
                </c:pt>
                <c:pt idx="1">
                  <c:v>-180</c:v>
                </c:pt>
              </c:numCache>
            </c:numRef>
          </c:yVal>
          <c:extLst xmlns:c16r2="http://schemas.microsoft.com/office/drawing/2015/06/chart">
            <c:ext xmlns:c16="http://schemas.microsoft.com/office/drawing/2014/chart" uri="{C3380CC4-5D6E-409C-BE32-E72D297353CC}">
              <c16:uniqueId val="{00000016-3E6E-41F5-8031-2925995460D5}"/>
            </c:ext>
          </c:extLst>
        </c:ser>
        <c:ser>
          <c:idx val="25"/>
          <c:order val="20"/>
          <c:tx>
            <c:v>Grade8</c:v>
          </c:tx>
          <c:spPr>
            <a:ln>
              <a:solidFill>
                <a:srgbClr val="4F81BD">
                  <a:tint val="58000"/>
                  <a:shade val="95000"/>
                  <a:satMod val="105000"/>
                </a:srgbClr>
              </a:solidFill>
              <a:prstDash val="sysDot"/>
            </a:ln>
          </c:spPr>
          <c:marker>
            <c:symbol val="none"/>
          </c:marker>
          <c:xVal>
            <c:numRef>
              <c:f>Plan1!$B$23,Plan1!$B$23</c:f>
              <c:numCache>
                <c:formatCode>General</c:formatCode>
                <c:ptCount val="2"/>
                <c:pt idx="0">
                  <c:v>800</c:v>
                </c:pt>
                <c:pt idx="1">
                  <c:v>800</c:v>
                </c:pt>
              </c:numCache>
            </c:numRef>
          </c:xVal>
          <c:yVal>
            <c:numRef>
              <c:f>Plan1!$B$3,Plan1!$D$23</c:f>
              <c:numCache>
                <c:formatCode>General</c:formatCode>
                <c:ptCount val="2"/>
                <c:pt idx="0">
                  <c:v>-30</c:v>
                </c:pt>
                <c:pt idx="1">
                  <c:v>-180</c:v>
                </c:pt>
              </c:numCache>
            </c:numRef>
          </c:yVal>
          <c:extLst xmlns:c16r2="http://schemas.microsoft.com/office/drawing/2015/06/chart">
            <c:ext xmlns:c16="http://schemas.microsoft.com/office/drawing/2014/chart" uri="{C3380CC4-5D6E-409C-BE32-E72D297353CC}">
              <c16:uniqueId val="{00000017-3E6E-41F5-8031-2925995460D5}"/>
            </c:ext>
          </c:extLst>
        </c:ser>
        <c:ser>
          <c:idx val="26"/>
          <c:order val="21"/>
          <c:tx>
            <c:v>Grade9</c:v>
          </c:tx>
          <c:spPr>
            <a:ln>
              <a:solidFill>
                <a:srgbClr val="4F81BD">
                  <a:tint val="58000"/>
                  <a:shade val="95000"/>
                  <a:satMod val="105000"/>
                </a:srgbClr>
              </a:solidFill>
              <a:prstDash val="sysDot"/>
            </a:ln>
          </c:spPr>
          <c:marker>
            <c:symbol val="none"/>
          </c:marker>
          <c:xVal>
            <c:numRef>
              <c:f>Plan1!$B$22,Plan1!$B$22</c:f>
              <c:numCache>
                <c:formatCode>General</c:formatCode>
                <c:ptCount val="2"/>
                <c:pt idx="0">
                  <c:v>900</c:v>
                </c:pt>
                <c:pt idx="1">
                  <c:v>900</c:v>
                </c:pt>
              </c:numCache>
            </c:numRef>
          </c:xVal>
          <c:yVal>
            <c:numRef>
              <c:f>Plan1!$B$3,Plan1!$D$22</c:f>
              <c:numCache>
                <c:formatCode>General</c:formatCode>
                <c:ptCount val="2"/>
                <c:pt idx="0">
                  <c:v>-30</c:v>
                </c:pt>
                <c:pt idx="1">
                  <c:v>-180</c:v>
                </c:pt>
              </c:numCache>
            </c:numRef>
          </c:yVal>
          <c:extLst xmlns:c16r2="http://schemas.microsoft.com/office/drawing/2015/06/chart">
            <c:ext xmlns:c16="http://schemas.microsoft.com/office/drawing/2014/chart" uri="{C3380CC4-5D6E-409C-BE32-E72D297353CC}">
              <c16:uniqueId val="{00000018-3E6E-41F5-8031-2925995460D5}"/>
            </c:ext>
          </c:extLst>
        </c:ser>
        <c:ser>
          <c:idx val="27"/>
          <c:order val="22"/>
          <c:tx>
            <c:v>Grade10</c:v>
          </c:tx>
          <c:spPr>
            <a:ln>
              <a:solidFill>
                <a:srgbClr val="4F81BD">
                  <a:tint val="58000"/>
                  <a:shade val="95000"/>
                  <a:satMod val="105000"/>
                </a:srgbClr>
              </a:solidFill>
              <a:prstDash val="sysDot"/>
            </a:ln>
          </c:spPr>
          <c:marker>
            <c:symbol val="none"/>
          </c:marker>
          <c:xVal>
            <c:numRef>
              <c:f>Plan1!$B$21,Plan1!$B$21</c:f>
              <c:numCache>
                <c:formatCode>General</c:formatCode>
                <c:ptCount val="2"/>
                <c:pt idx="0">
                  <c:v>1000</c:v>
                </c:pt>
                <c:pt idx="1">
                  <c:v>1000</c:v>
                </c:pt>
              </c:numCache>
            </c:numRef>
          </c:xVal>
          <c:yVal>
            <c:numRef>
              <c:f>Plan1!$B$3,Plan1!$D$21</c:f>
              <c:numCache>
                <c:formatCode>General</c:formatCode>
                <c:ptCount val="2"/>
                <c:pt idx="0">
                  <c:v>-30</c:v>
                </c:pt>
                <c:pt idx="1">
                  <c:v>-180</c:v>
                </c:pt>
              </c:numCache>
            </c:numRef>
          </c:yVal>
          <c:extLst xmlns:c16r2="http://schemas.microsoft.com/office/drawing/2015/06/chart">
            <c:ext xmlns:c16="http://schemas.microsoft.com/office/drawing/2014/chart" uri="{C3380CC4-5D6E-409C-BE32-E72D297353CC}">
              <c16:uniqueId val="{00000019-3E6E-41F5-8031-2925995460D5}"/>
            </c:ext>
          </c:extLst>
        </c:ser>
        <c:axId val="107800064"/>
        <c:axId val="107801600"/>
      </c:scatterChart>
      <c:catAx>
        <c:axId val="107800064"/>
        <c:scaling>
          <c:orientation val="minMax"/>
        </c:scaling>
        <c:delete val="1"/>
        <c:axPos val="b"/>
        <c:numFmt formatCode="ge\r\a\l" sourceLinked="1"/>
        <c:tickLblPos val="none"/>
        <c:crossAx val="107801600"/>
        <c:crossesAt val="-100"/>
        <c:auto val="1"/>
        <c:lblAlgn val="ctr"/>
        <c:lblOffset val="100"/>
      </c:catAx>
      <c:valAx>
        <c:axId val="107801600"/>
        <c:scaling>
          <c:orientation val="minMax"/>
        </c:scaling>
        <c:axPos val="l"/>
        <c:majorGridlines>
          <c:spPr>
            <a:ln>
              <a:solidFill>
                <a:sysClr val="windowText" lastClr="000000">
                  <a:alpha val="14000"/>
                </a:sysClr>
              </a:solidFill>
              <a:prstDash val="dash"/>
            </a:ln>
          </c:spPr>
        </c:majorGridlines>
        <c:numFmt formatCode="#,##0" sourceLinked="0"/>
        <c:tickLblPos val="nextTo"/>
        <c:crossAx val="107800064"/>
        <c:crosses val="autoZero"/>
        <c:crossBetween val="between"/>
        <c:majorUnit val="5"/>
      </c:valAx>
    </c:plotArea>
    <c:plotVisOnly val="1"/>
    <c:dispBlanksAs val="gap"/>
  </c:chart>
  <c:printSettings>
    <c:headerFooter/>
    <c:pageMargins b="0.78740157499999996" l="0.511811024" r="0.511811024" t="0.78740157499999996" header="0.31496062000000258" footer="0.31496062000000258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.xml"/><Relationship Id="rId2" Type="http://schemas.openxmlformats.org/officeDocument/2006/relationships/image" Target="../media/image1.jpeg"/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37033</xdr:colOff>
      <xdr:row>0</xdr:row>
      <xdr:rowOff>50386</xdr:rowOff>
    </xdr:from>
    <xdr:to>
      <xdr:col>23</xdr:col>
      <xdr:colOff>176094</xdr:colOff>
      <xdr:row>34</xdr:row>
      <xdr:rowOff>137833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23</xdr:col>
      <xdr:colOff>313516</xdr:colOff>
      <xdr:row>5</xdr:row>
      <xdr:rowOff>68534</xdr:rowOff>
    </xdr:from>
    <xdr:to>
      <xdr:col>25</xdr:col>
      <xdr:colOff>231588</xdr:colOff>
      <xdr:row>10</xdr:row>
      <xdr:rowOff>1291</xdr:rowOff>
    </xdr:to>
    <xdr:pic>
      <xdr:nvPicPr>
        <xdr:cNvPr id="9" name="Imagem 8" descr="cid:image003.jpg@01D13335.7610C9B0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5486281" y="1065858"/>
          <a:ext cx="1128307" cy="907668"/>
        </a:xfrm>
        <a:prstGeom prst="rect">
          <a:avLst/>
        </a:prstGeom>
        <a:noFill/>
        <a:ln w="9525">
          <a:solidFill>
            <a:schemeClr val="accent1"/>
          </a:solidFill>
          <a:miter lim="800000"/>
          <a:headEnd/>
          <a:tailEnd/>
        </a:ln>
      </xdr:spPr>
    </xdr:pic>
    <xdr:clientData/>
  </xdr:twoCellAnchor>
  <xdr:twoCellAnchor>
    <xdr:from>
      <xdr:col>4</xdr:col>
      <xdr:colOff>596983</xdr:colOff>
      <xdr:row>32</xdr:row>
      <xdr:rowOff>155862</xdr:rowOff>
    </xdr:from>
    <xdr:to>
      <xdr:col>23</xdr:col>
      <xdr:colOff>257547</xdr:colOff>
      <xdr:row>51</xdr:row>
      <xdr:rowOff>74219</xdr:rowOff>
    </xdr:to>
    <xdr:graphicFrame macro="">
      <xdr:nvGraphicFramePr>
        <xdr:cNvPr id="5" name="Gráfico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0.00806</cdr:x>
      <cdr:y>0.00056</cdr:y>
    </cdr:from>
    <cdr:to>
      <cdr:x>0.08921</cdr:x>
      <cdr:y>0.04438</cdr:y>
    </cdr:to>
    <cdr:sp macro="" textlink="">
      <cdr:nvSpPr>
        <cdr:cNvPr id="2" name="CaixaDeTexto 1"/>
        <cdr:cNvSpPr txBox="1"/>
      </cdr:nvSpPr>
      <cdr:spPr>
        <a:xfrm xmlns:a="http://schemas.openxmlformats.org/drawingml/2006/main">
          <a:off x="98717" y="2958"/>
          <a:ext cx="993914" cy="23191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100"/>
            <a:t>Potência (dBm)</a:t>
          </a:r>
        </a:p>
      </cdr:txBody>
    </cdr:sp>
  </cdr:relSizeAnchor>
  <cdr:relSizeAnchor xmlns:cdr="http://schemas.openxmlformats.org/drawingml/2006/chartDrawing">
    <cdr:from>
      <cdr:x>0.8875</cdr:x>
      <cdr:y>0.89687</cdr:y>
    </cdr:from>
    <cdr:to>
      <cdr:x>0.96216</cdr:x>
      <cdr:y>0.93953</cdr:y>
    </cdr:to>
    <cdr:sp macro="" textlink="">
      <cdr:nvSpPr>
        <cdr:cNvPr id="3" name="CaixaDeTexto 2"/>
        <cdr:cNvSpPr txBox="1"/>
      </cdr:nvSpPr>
      <cdr:spPr>
        <a:xfrm xmlns:a="http://schemas.openxmlformats.org/drawingml/2006/main">
          <a:off x="10870251" y="4746763"/>
          <a:ext cx="914400" cy="22576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100"/>
            <a:t>Distância (m)</a:t>
          </a:r>
        </a:p>
        <a:p xmlns:a="http://schemas.openxmlformats.org/drawingml/2006/main">
          <a:endParaRPr lang="en-US" sz="1100"/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561975</xdr:colOff>
      <xdr:row>0</xdr:row>
      <xdr:rowOff>123825</xdr:rowOff>
    </xdr:from>
    <xdr:to>
      <xdr:col>8</xdr:col>
      <xdr:colOff>536139</xdr:colOff>
      <xdr:row>5</xdr:row>
      <xdr:rowOff>71834</xdr:rowOff>
    </xdr:to>
    <xdr:pic>
      <xdr:nvPicPr>
        <xdr:cNvPr id="2" name="Imagem 1" descr="cid:image003.jpg@01D13335.7610C9B0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267325" y="123825"/>
          <a:ext cx="1145739" cy="910034"/>
        </a:xfrm>
        <a:prstGeom prst="rect">
          <a:avLst/>
        </a:prstGeom>
        <a:noFill/>
        <a:ln w="9525">
          <a:solidFill>
            <a:schemeClr val="accent1"/>
          </a:solidFill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119066</xdr:colOff>
      <xdr:row>11</xdr:row>
      <xdr:rowOff>35721</xdr:rowOff>
    </xdr:from>
    <xdr:to>
      <xdr:col>12</xdr:col>
      <xdr:colOff>0</xdr:colOff>
      <xdr:row>12</xdr:row>
      <xdr:rowOff>136925</xdr:rowOff>
    </xdr:to>
    <xdr:sp macro="" textlink="">
      <xdr:nvSpPr>
        <xdr:cNvPr id="2" name="Chave esquerda 1"/>
        <xdr:cNvSpPr/>
      </xdr:nvSpPr>
      <xdr:spPr>
        <a:xfrm rot="16200000">
          <a:off x="6009681" y="1117406"/>
          <a:ext cx="291704" cy="2319334"/>
        </a:xfrm>
        <a:prstGeom prst="leftBrace">
          <a:avLst>
            <a:gd name="adj1" fmla="val 8333"/>
            <a:gd name="adj2" fmla="val 50000"/>
          </a:avLst>
        </a:prstGeom>
        <a:ln w="3175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3</xdr:col>
      <xdr:colOff>285751</xdr:colOff>
      <xdr:row>12</xdr:row>
      <xdr:rowOff>136924</xdr:rowOff>
    </xdr:from>
    <xdr:to>
      <xdr:col>10</xdr:col>
      <xdr:colOff>440534</xdr:colOff>
      <xdr:row>15</xdr:row>
      <xdr:rowOff>154780</xdr:rowOff>
    </xdr:to>
    <xdr:cxnSp macro="">
      <xdr:nvCxnSpPr>
        <xdr:cNvPr id="3" name="Forma 2"/>
        <xdr:cNvCxnSpPr>
          <a:stCxn id="2" idx="1"/>
        </xdr:cNvCxnSpPr>
      </xdr:nvCxnSpPr>
      <xdr:spPr>
        <a:xfrm rot="5400000">
          <a:off x="4030865" y="506610"/>
          <a:ext cx="589356" cy="4421983"/>
        </a:xfrm>
        <a:prstGeom prst="curvedConnector4">
          <a:avLst>
            <a:gd name="adj1" fmla="val 13211"/>
            <a:gd name="adj2" fmla="val 99943"/>
          </a:avLst>
        </a:prstGeom>
        <a:ln w="38100"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581024</xdr:colOff>
      <xdr:row>7</xdr:row>
      <xdr:rowOff>57150</xdr:rowOff>
    </xdr:from>
    <xdr:to>
      <xdr:col>20</xdr:col>
      <xdr:colOff>66261</xdr:colOff>
      <xdr:row>14</xdr:row>
      <xdr:rowOff>66261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23231</xdr:colOff>
      <xdr:row>1</xdr:row>
      <xdr:rowOff>13940</xdr:rowOff>
    </xdr:from>
    <xdr:to>
      <xdr:col>8</xdr:col>
      <xdr:colOff>560300</xdr:colOff>
      <xdr:row>4</xdr:row>
      <xdr:rowOff>194498</xdr:rowOff>
    </xdr:to>
    <xdr:pic>
      <xdr:nvPicPr>
        <xdr:cNvPr id="2" name="Imagem 1" descr="cid:image003.jpg@01D13335.7610C9B0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944743" y="204440"/>
          <a:ext cx="1145739" cy="910034"/>
        </a:xfrm>
        <a:prstGeom prst="rect">
          <a:avLst/>
        </a:prstGeom>
        <a:noFill/>
        <a:ln w="9525">
          <a:solidFill>
            <a:schemeClr val="accent1"/>
          </a:solidFill>
          <a:miter lim="800000"/>
          <a:headEnd/>
          <a:tailEnd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9526</xdr:colOff>
      <xdr:row>2</xdr:row>
      <xdr:rowOff>104774</xdr:rowOff>
    </xdr:from>
    <xdr:to>
      <xdr:col>6</xdr:col>
      <xdr:colOff>314326</xdr:colOff>
      <xdr:row>4</xdr:row>
      <xdr:rowOff>180974</xdr:rowOff>
    </xdr:to>
    <xdr:cxnSp macro="">
      <xdr:nvCxnSpPr>
        <xdr:cNvPr id="2" name="Conector angulado 1"/>
        <xdr:cNvCxnSpPr/>
      </xdr:nvCxnSpPr>
      <xdr:spPr>
        <a:xfrm rot="16200000" flipH="1">
          <a:off x="3590926" y="561974"/>
          <a:ext cx="457200" cy="304800"/>
        </a:xfrm>
        <a:prstGeom prst="bentConnector3">
          <a:avLst>
            <a:gd name="adj1" fmla="val -1021"/>
          </a:avLst>
        </a:prstGeom>
        <a:ln w="38100"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</xdr:colOff>
      <xdr:row>17</xdr:row>
      <xdr:rowOff>9526</xdr:rowOff>
    </xdr:from>
    <xdr:to>
      <xdr:col>6</xdr:col>
      <xdr:colOff>323853</xdr:colOff>
      <xdr:row>19</xdr:row>
      <xdr:rowOff>114302</xdr:rowOff>
    </xdr:to>
    <xdr:cxnSp macro="">
      <xdr:nvCxnSpPr>
        <xdr:cNvPr id="3" name="Conector angulado 2"/>
        <xdr:cNvCxnSpPr/>
      </xdr:nvCxnSpPr>
      <xdr:spPr>
        <a:xfrm rot="5400000" flipH="1" flipV="1">
          <a:off x="3576640" y="3328988"/>
          <a:ext cx="485776" cy="323851"/>
        </a:xfrm>
        <a:prstGeom prst="bentConnector3">
          <a:avLst>
            <a:gd name="adj1" fmla="val -1923"/>
          </a:avLst>
        </a:prstGeom>
        <a:ln w="38100"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1</xdr:col>
      <xdr:colOff>76200</xdr:colOff>
      <xdr:row>0</xdr:row>
      <xdr:rowOff>47625</xdr:rowOff>
    </xdr:from>
    <xdr:to>
      <xdr:col>1</xdr:col>
      <xdr:colOff>1200771</xdr:colOff>
      <xdr:row>4</xdr:row>
      <xdr:rowOff>183582</xdr:rowOff>
    </xdr:to>
    <xdr:pic>
      <xdr:nvPicPr>
        <xdr:cNvPr id="4" name="Imagem 3" descr="cid:image003.jpg@01D13335.7610C9B0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85800" y="47625"/>
          <a:ext cx="534021" cy="897957"/>
        </a:xfrm>
        <a:prstGeom prst="rect">
          <a:avLst/>
        </a:prstGeom>
        <a:noFill/>
        <a:ln w="9525">
          <a:solidFill>
            <a:schemeClr val="accent1"/>
          </a:solidFill>
          <a:miter lim="800000"/>
          <a:headEnd/>
          <a:tailEnd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392206</xdr:colOff>
      <xdr:row>0</xdr:row>
      <xdr:rowOff>117660</xdr:rowOff>
    </xdr:from>
    <xdr:to>
      <xdr:col>19</xdr:col>
      <xdr:colOff>36821</xdr:colOff>
      <xdr:row>32</xdr:row>
      <xdr:rowOff>67235</xdr:rowOff>
    </xdr:to>
    <xdr:graphicFrame macro="">
      <xdr:nvGraphicFramePr>
        <xdr:cNvPr id="2" name="Gráfico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16</xdr:col>
      <xdr:colOff>538683</xdr:colOff>
      <xdr:row>1</xdr:row>
      <xdr:rowOff>11206</xdr:rowOff>
    </xdr:from>
    <xdr:to>
      <xdr:col>18</xdr:col>
      <xdr:colOff>304993</xdr:colOff>
      <xdr:row>5</xdr:row>
      <xdr:rowOff>144556</xdr:rowOff>
    </xdr:to>
    <xdr:pic>
      <xdr:nvPicPr>
        <xdr:cNvPr id="3" name="Imagem 2" descr="cid:image003.jpg@01D13335.7610C9B0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0292283" y="201706"/>
          <a:ext cx="985510" cy="895350"/>
        </a:xfrm>
        <a:prstGeom prst="rect">
          <a:avLst/>
        </a:prstGeom>
        <a:noFill/>
        <a:ln w="9525">
          <a:solidFill>
            <a:schemeClr val="accent1"/>
          </a:solidFill>
          <a:miter lim="800000"/>
          <a:headEnd/>
          <a:tailEnd/>
        </a:ln>
      </xdr:spPr>
    </xdr:pic>
    <xdr:clientData/>
  </xdr:twoCellAnchor>
</xdr:wsDr>
</file>

<file path=xl/drawings/drawing9.xml><?xml version="1.0" encoding="utf-8"?>
<c:userShapes xmlns:c="http://schemas.openxmlformats.org/drawingml/2006/chart">
  <cdr:relSizeAnchor xmlns:cdr="http://schemas.openxmlformats.org/drawingml/2006/chartDrawing">
    <cdr:from>
      <cdr:x>0.01215</cdr:x>
      <cdr:y>0.00056</cdr:y>
    </cdr:from>
    <cdr:to>
      <cdr:x>0.08921</cdr:x>
      <cdr:y>0.09121</cdr:y>
    </cdr:to>
    <cdr:sp macro="" textlink="">
      <cdr:nvSpPr>
        <cdr:cNvPr id="2" name="CaixaDeTexto 1"/>
        <cdr:cNvSpPr txBox="1"/>
      </cdr:nvSpPr>
      <cdr:spPr>
        <a:xfrm xmlns:a="http://schemas.openxmlformats.org/drawingml/2006/main">
          <a:off x="123265" y="1892"/>
          <a:ext cx="781728" cy="30627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100"/>
            <a:t>Potência (dBm)</a:t>
          </a:r>
        </a:p>
      </cdr:txBody>
    </cdr:sp>
  </cdr:relSizeAnchor>
  <cdr:relSizeAnchor xmlns:cdr="http://schemas.openxmlformats.org/drawingml/2006/chartDrawing">
    <cdr:from>
      <cdr:x>0.88922</cdr:x>
      <cdr:y>0.89687</cdr:y>
    </cdr:from>
    <cdr:to>
      <cdr:x>0.96216</cdr:x>
      <cdr:y>0.97347</cdr:y>
    </cdr:to>
    <cdr:sp macro="" textlink="">
      <cdr:nvSpPr>
        <cdr:cNvPr id="3" name="CaixaDeTexto 2"/>
        <cdr:cNvSpPr txBox="1"/>
      </cdr:nvSpPr>
      <cdr:spPr>
        <a:xfrm xmlns:a="http://schemas.openxmlformats.org/drawingml/2006/main">
          <a:off x="9020734" y="3030141"/>
          <a:ext cx="739923" cy="25878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100"/>
            <a:t>Distância (m)</a:t>
          </a:r>
        </a:p>
        <a:p xmlns:a="http://schemas.openxmlformats.org/drawingml/2006/main">
          <a:endParaRPr lang="en-US" sz="1100"/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Perguntas%20REV%2007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Plan1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Cliente"/>
      <sheetName val="Integrador"/>
    </sheetNames>
    <sheetDataSet>
      <sheetData sheetId="0">
        <row r="1">
          <cell r="D1">
            <v>0</v>
          </cell>
        </row>
      </sheetData>
      <sheetData sheetId="1">
        <row r="1">
          <cell r="D1">
            <v>7.9603053435114361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Plan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Plan1"/>
  <dimension ref="A1:AF163"/>
  <sheetViews>
    <sheetView workbookViewId="0">
      <selection sqref="A1:B35"/>
    </sheetView>
  </sheetViews>
  <sheetFormatPr defaultColWidth="9.140625" defaultRowHeight="15"/>
  <cols>
    <col min="1" max="1" width="33.140625" style="11" customWidth="1"/>
    <col min="2" max="2" width="10.28515625" style="9" bestFit="1" customWidth="1"/>
    <col min="3" max="3" width="7.5703125" style="9" customWidth="1"/>
    <col min="4" max="4" width="2" style="10" customWidth="1"/>
    <col min="5" max="12" width="9.140625" style="11"/>
    <col min="13" max="13" width="11.28515625" style="11" bestFit="1" customWidth="1"/>
    <col min="14" max="16" width="9.140625" style="11"/>
    <col min="17" max="17" width="9.7109375" style="11" bestFit="1" customWidth="1"/>
    <col min="18" max="27" width="9.140625" style="11"/>
    <col min="28" max="28" width="13" style="11" bestFit="1" customWidth="1"/>
    <col min="29" max="16384" width="9.140625" style="11"/>
  </cols>
  <sheetData>
    <row r="1" spans="1:4" ht="15.75" thickBot="1">
      <c r="A1" s="8" t="s">
        <v>13</v>
      </c>
      <c r="B1" s="6">
        <v>36</v>
      </c>
      <c r="C1" s="9" t="s">
        <v>1</v>
      </c>
    </row>
    <row r="2" spans="1:4" ht="15.75" thickBot="1">
      <c r="A2" s="8" t="s">
        <v>20</v>
      </c>
      <c r="B2" s="12">
        <f>D2/10-10</f>
        <v>30</v>
      </c>
      <c r="C2" s="67" t="s">
        <v>1</v>
      </c>
      <c r="D2" s="1">
        <v>400</v>
      </c>
    </row>
    <row r="3" spans="1:4" ht="15.75" thickBot="1">
      <c r="A3" s="8" t="s">
        <v>39</v>
      </c>
      <c r="B3" s="14">
        <v>0</v>
      </c>
      <c r="C3" s="9" t="s">
        <v>25</v>
      </c>
    </row>
    <row r="4" spans="1:4" ht="15.75" thickBot="1">
      <c r="A4" s="8" t="s">
        <v>41</v>
      </c>
      <c r="B4" s="15">
        <f>D4/10</f>
        <v>1</v>
      </c>
      <c r="C4" s="57" t="s">
        <v>42</v>
      </c>
      <c r="D4" s="1">
        <v>10</v>
      </c>
    </row>
    <row r="5" spans="1:4">
      <c r="A5" s="8" t="s">
        <v>37</v>
      </c>
      <c r="B5" s="14">
        <v>6</v>
      </c>
      <c r="C5" s="9" t="s">
        <v>19</v>
      </c>
    </row>
    <row r="6" spans="1:4">
      <c r="A6" s="8" t="s">
        <v>70</v>
      </c>
      <c r="B6" s="14">
        <v>0</v>
      </c>
      <c r="C6" s="9" t="s">
        <v>42</v>
      </c>
    </row>
    <row r="7" spans="1:4">
      <c r="A7" s="8" t="s">
        <v>72</v>
      </c>
      <c r="B7" s="14">
        <v>15</v>
      </c>
      <c r="C7" s="9" t="s">
        <v>71</v>
      </c>
      <c r="D7" s="10">
        <v>49</v>
      </c>
    </row>
    <row r="8" spans="1:4" ht="15.75" thickBot="1">
      <c r="A8" s="129" t="s">
        <v>12</v>
      </c>
      <c r="B8" s="63">
        <f>B2+B3+B5+(10*LOG(1-(POWER((B4-1)/(B4+1),2))))+IF(B6=1,-3,0)</f>
        <v>36</v>
      </c>
      <c r="C8" s="9" t="s">
        <v>1</v>
      </c>
    </row>
    <row r="9" spans="1:4" ht="15.75" thickBot="1">
      <c r="A9" s="8" t="s">
        <v>21</v>
      </c>
      <c r="B9" s="15">
        <f>D9/10</f>
        <v>10</v>
      </c>
      <c r="C9" s="13" t="s">
        <v>2</v>
      </c>
      <c r="D9" s="1">
        <v>100</v>
      </c>
    </row>
    <row r="10" spans="1:4">
      <c r="A10" s="8" t="s">
        <v>0</v>
      </c>
      <c r="B10" s="14">
        <v>915</v>
      </c>
      <c r="C10" s="9" t="s">
        <v>3</v>
      </c>
    </row>
    <row r="11" spans="1:4">
      <c r="A11" s="8" t="s">
        <v>15</v>
      </c>
      <c r="B11" s="2">
        <f>27.55-20*LOG(B10)-20*LOG(B9)</f>
        <v>-51.678421881328973</v>
      </c>
      <c r="C11" s="16" t="s">
        <v>25</v>
      </c>
    </row>
    <row r="12" spans="1:4" ht="15.75" thickBot="1">
      <c r="A12" s="129" t="s">
        <v>14</v>
      </c>
      <c r="B12" s="2">
        <f>B8+B11</f>
        <v>-15.678421881328973</v>
      </c>
      <c r="C12" s="16" t="s">
        <v>1</v>
      </c>
    </row>
    <row r="13" spans="1:4" ht="15.75" thickBot="1">
      <c r="A13" s="8" t="s">
        <v>7</v>
      </c>
      <c r="B13" s="17">
        <f>F59/10-21-10+15</f>
        <v>-3.3000000000000007</v>
      </c>
      <c r="C13" s="128" t="s">
        <v>19</v>
      </c>
    </row>
    <row r="14" spans="1:4">
      <c r="A14" s="8" t="s">
        <v>29</v>
      </c>
      <c r="B14" s="18">
        <f>((300000000*300000000)/(B10*1000000*B10*1000000))*(POWER(10,B13/10)/(4*3.1415))</f>
        <v>4.0013198255137994E-3</v>
      </c>
      <c r="C14" s="16" t="s">
        <v>30</v>
      </c>
    </row>
    <row r="15" spans="1:4" ht="15.75" thickBot="1">
      <c r="A15" s="8" t="s">
        <v>35</v>
      </c>
      <c r="B15" s="60">
        <f>2.75/SQRT(B14)</f>
        <v>43.47414613294589</v>
      </c>
      <c r="C15" s="16" t="s">
        <v>36</v>
      </c>
    </row>
    <row r="16" spans="1:4" ht="15.75" thickBot="1">
      <c r="A16" s="59" t="s">
        <v>6</v>
      </c>
      <c r="B16" s="56">
        <f>-AA59/10</f>
        <v>-24</v>
      </c>
      <c r="C16" s="58" t="s">
        <v>1</v>
      </c>
    </row>
    <row r="17" spans="1:4">
      <c r="A17" s="8" t="s">
        <v>28</v>
      </c>
      <c r="B17" s="64">
        <f>B16-B13</f>
        <v>-20.7</v>
      </c>
      <c r="C17" s="16" t="s">
        <v>1</v>
      </c>
    </row>
    <row r="18" spans="1:4">
      <c r="A18" s="8" t="s">
        <v>31</v>
      </c>
      <c r="B18" s="3">
        <f>1/B9*(SQRT(POWER(10,B12/10)*377/4/3.1415))</f>
        <v>9.0084703474275857E-2</v>
      </c>
      <c r="C18" s="16" t="s">
        <v>33</v>
      </c>
    </row>
    <row r="19" spans="1:4" ht="15.75" thickBot="1">
      <c r="A19" s="8" t="s">
        <v>32</v>
      </c>
      <c r="B19" s="61">
        <f>B18/377</f>
        <v>2.3895146810152748E-4</v>
      </c>
      <c r="C19" s="16" t="s">
        <v>34</v>
      </c>
    </row>
    <row r="20" spans="1:4" ht="15.75" thickBot="1">
      <c r="A20" s="59" t="s">
        <v>66</v>
      </c>
      <c r="B20" s="56">
        <f>-AB59/10</f>
        <v>-6.4</v>
      </c>
      <c r="C20" s="58" t="s">
        <v>25</v>
      </c>
    </row>
    <row r="21" spans="1:4">
      <c r="A21" s="129" t="s">
        <v>4</v>
      </c>
      <c r="B21" s="62">
        <f>B12+B13+B20</f>
        <v>-25.378421881328975</v>
      </c>
      <c r="C21" s="16" t="s">
        <v>1</v>
      </c>
    </row>
    <row r="22" spans="1:4">
      <c r="A22" s="65" t="s">
        <v>69</v>
      </c>
      <c r="B22" s="62">
        <f>10*LOG10((((2*(POWER(10,(B25-30)/10))/POWER(10,(B8-30)/10)))*4*4*4*3.14*3.14*3.14*B10*1000000*B10*1000000*B9*B9*B9*B9)/(300000000*300000000))</f>
        <v>-27.390857837047108</v>
      </c>
      <c r="C22" s="16" t="s">
        <v>65</v>
      </c>
    </row>
    <row r="23" spans="1:4">
      <c r="A23" s="8" t="s">
        <v>22</v>
      </c>
      <c r="B23" s="6">
        <f>B9</f>
        <v>10</v>
      </c>
      <c r="C23" s="16" t="s">
        <v>2</v>
      </c>
    </row>
    <row r="24" spans="1:4">
      <c r="A24" s="8" t="s">
        <v>16</v>
      </c>
      <c r="B24" s="2">
        <f>27.55-20*LOG(B23)-20*LOG(B10)</f>
        <v>-51.678421881328973</v>
      </c>
      <c r="C24" s="16" t="s">
        <v>25</v>
      </c>
    </row>
    <row r="25" spans="1:4">
      <c r="A25" s="129" t="s">
        <v>5</v>
      </c>
      <c r="B25" s="2">
        <f>B21+B24</f>
        <v>-77.056843762657948</v>
      </c>
      <c r="C25" s="16" t="s">
        <v>1</v>
      </c>
    </row>
    <row r="26" spans="1:4">
      <c r="A26" s="8" t="s">
        <v>38</v>
      </c>
      <c r="B26" s="6">
        <f>B5</f>
        <v>6</v>
      </c>
      <c r="C26" s="9" t="s">
        <v>19</v>
      </c>
    </row>
    <row r="27" spans="1:4">
      <c r="A27" s="8" t="s">
        <v>40</v>
      </c>
      <c r="B27" s="6">
        <f>B3</f>
        <v>0</v>
      </c>
      <c r="C27" s="9" t="s">
        <v>25</v>
      </c>
    </row>
    <row r="28" spans="1:4" ht="15.75" thickBot="1">
      <c r="A28" s="129" t="s">
        <v>17</v>
      </c>
      <c r="B28" s="2">
        <f>B25+B26+B27+(10*LOG(1-(POWER((B4-1)/(B4+1),2))))+IF(B6=1,-3,0)</f>
        <v>-71.056843762657948</v>
      </c>
      <c r="C28" s="9" t="s">
        <v>1</v>
      </c>
    </row>
    <row r="29" spans="1:4" ht="15.75" thickBot="1">
      <c r="A29" s="8" t="s">
        <v>18</v>
      </c>
      <c r="B29" s="17">
        <f>-D29</f>
        <v>-82</v>
      </c>
      <c r="C29" s="67" t="s">
        <v>1</v>
      </c>
      <c r="D29" s="19">
        <v>82</v>
      </c>
    </row>
    <row r="30" spans="1:4">
      <c r="A30" s="20" t="s">
        <v>11</v>
      </c>
      <c r="B30" s="4">
        <f>IF((B12-B17)&lt;0,"   * ERRO *",B12-B17)</f>
        <v>5.0215781186710267</v>
      </c>
      <c r="C30" s="9" t="s">
        <v>25</v>
      </c>
    </row>
    <row r="31" spans="1:4">
      <c r="A31" s="20" t="s">
        <v>10</v>
      </c>
      <c r="B31" s="4">
        <f>IF((B28-B29)&lt;0,"   * ERRO *",B28-B29)</f>
        <v>10.943156237342052</v>
      </c>
      <c r="C31" s="9" t="s">
        <v>25</v>
      </c>
    </row>
    <row r="32" spans="1:4">
      <c r="A32" s="21" t="s">
        <v>8</v>
      </c>
      <c r="B32" s="22">
        <v>0</v>
      </c>
      <c r="C32" s="23" t="s">
        <v>2</v>
      </c>
    </row>
    <row r="33" spans="1:12">
      <c r="A33" s="24" t="s">
        <v>9</v>
      </c>
      <c r="B33" s="7">
        <f>B9*0.3</f>
        <v>3</v>
      </c>
      <c r="C33" s="23" t="s">
        <v>2</v>
      </c>
    </row>
    <row r="34" spans="1:12">
      <c r="A34" s="20" t="s">
        <v>67</v>
      </c>
      <c r="B34" s="4">
        <f>POWER(10,(27.55-(B$17-B$8))/20-LOG10(B$10))</f>
        <v>17.827026330358898</v>
      </c>
      <c r="C34" s="9" t="s">
        <v>2</v>
      </c>
    </row>
    <row r="35" spans="1:12" ht="15.75" thickBot="1">
      <c r="A35" s="25" t="s">
        <v>68</v>
      </c>
      <c r="B35" s="4">
        <f>POWER(10,(27.55-(B$29-B$21))/20-LOG10(B$10))</f>
        <v>17.666796717348458</v>
      </c>
      <c r="C35" s="9" t="s">
        <v>2</v>
      </c>
    </row>
    <row r="36" spans="1:12" ht="7.5" customHeight="1"/>
    <row r="37" spans="1:12">
      <c r="A37" s="187" t="str">
        <f>IF(B12&lt;B17,"*** FALHA *** LINK DIRETO",IF(B12-B17&gt;6,"LINK DIRETO MARGEM GRANDE",IF(B12-B17&gt;3,"LINK DIRETO MARGEM MÉDIA","LINK DIRETO MARGEM PEQUENA")))</f>
        <v>LINK DIRETO MARGEM MÉDIA</v>
      </c>
      <c r="B37" s="187"/>
      <c r="C37" s="187"/>
    </row>
    <row r="38" spans="1:12">
      <c r="A38" s="187" t="str">
        <f>IF(B28&lt;B29, "*** FALHA *** LINK REVERSO",IF(B28-B29&gt;6,"LINK REVERSO MARGEM GRANDE",IF(B28-B29&gt;3,"LINK REVERSO MARGEM MÉDIA","LINK REVERSO MARGEM PEQUENA")))</f>
        <v>LINK REVERSO MARGEM GRANDE</v>
      </c>
      <c r="B38" s="187"/>
      <c r="C38" s="187"/>
    </row>
    <row r="40" spans="1:12" s="28" customFormat="1" ht="18.75">
      <c r="A40" s="66" t="s">
        <v>107</v>
      </c>
      <c r="B40" s="26"/>
      <c r="C40" s="26"/>
      <c r="D40" s="27"/>
    </row>
    <row r="41" spans="1:12" s="28" customFormat="1" hidden="1">
      <c r="A41" s="29"/>
      <c r="B41" s="30"/>
      <c r="C41" s="30"/>
      <c r="D41" s="31"/>
      <c r="E41" s="29"/>
      <c r="F41" s="29"/>
      <c r="G41" s="29"/>
      <c r="H41" s="29"/>
      <c r="I41" s="29"/>
      <c r="J41" s="29"/>
      <c r="K41" s="29"/>
      <c r="L41" s="29"/>
    </row>
    <row r="42" spans="1:12" s="33" customFormat="1">
      <c r="A42" s="32"/>
      <c r="B42" s="5"/>
      <c r="C42" s="5"/>
      <c r="D42" s="32" t="s">
        <v>23</v>
      </c>
      <c r="E42" s="32"/>
      <c r="F42" s="32"/>
      <c r="G42" s="32"/>
      <c r="H42" s="32" t="s">
        <v>24</v>
      </c>
      <c r="I42" s="32"/>
      <c r="J42" s="32"/>
      <c r="K42" s="32"/>
      <c r="L42" s="32"/>
    </row>
    <row r="43" spans="1:12" s="33" customFormat="1">
      <c r="A43" s="32" t="s">
        <v>8</v>
      </c>
      <c r="B43" s="5">
        <f>B$9*1</f>
        <v>10</v>
      </c>
      <c r="C43" s="5"/>
      <c r="D43" s="32">
        <v>-100</v>
      </c>
      <c r="E43" s="32"/>
      <c r="F43" s="34"/>
      <c r="G43" s="32"/>
      <c r="H43" s="32">
        <f t="shared" ref="H43:H53" si="0">B43</f>
        <v>10</v>
      </c>
      <c r="I43" s="32"/>
      <c r="J43" s="32"/>
      <c r="K43" s="32"/>
      <c r="L43" s="32"/>
    </row>
    <row r="44" spans="1:12" s="33" customFormat="1">
      <c r="A44" s="32" t="s">
        <v>9</v>
      </c>
      <c r="B44" s="5">
        <f>B$9*0.9</f>
        <v>9</v>
      </c>
      <c r="C44" s="5"/>
      <c r="D44" s="32">
        <v>-100</v>
      </c>
      <c r="E44" s="32"/>
      <c r="F44" s="34"/>
      <c r="G44" s="32"/>
      <c r="H44" s="32">
        <f t="shared" si="0"/>
        <v>9</v>
      </c>
      <c r="I44" s="32"/>
      <c r="J44" s="32"/>
      <c r="K44" s="32"/>
      <c r="L44" s="32"/>
    </row>
    <row r="45" spans="1:12" s="33" customFormat="1">
      <c r="A45" s="32" t="s">
        <v>9</v>
      </c>
      <c r="B45" s="5">
        <f>B$9*0.8</f>
        <v>8</v>
      </c>
      <c r="C45" s="5"/>
      <c r="D45" s="32">
        <v>-100</v>
      </c>
      <c r="E45" s="32"/>
      <c r="F45" s="34"/>
      <c r="G45" s="32"/>
      <c r="H45" s="32">
        <f t="shared" si="0"/>
        <v>8</v>
      </c>
      <c r="I45" s="32"/>
      <c r="J45" s="32"/>
      <c r="K45" s="32"/>
      <c r="L45" s="32"/>
    </row>
    <row r="46" spans="1:12" s="33" customFormat="1">
      <c r="A46" s="32" t="s">
        <v>9</v>
      </c>
      <c r="B46" s="5">
        <f>B$9*0.7</f>
        <v>7</v>
      </c>
      <c r="C46" s="5"/>
      <c r="D46" s="32">
        <v>-100</v>
      </c>
      <c r="E46" s="32">
        <v>8</v>
      </c>
      <c r="F46" s="34"/>
      <c r="G46" s="32"/>
      <c r="H46" s="32">
        <f t="shared" si="0"/>
        <v>7</v>
      </c>
      <c r="I46" s="32"/>
      <c r="J46" s="32"/>
      <c r="K46" s="32"/>
      <c r="L46" s="32"/>
    </row>
    <row r="47" spans="1:12" s="33" customFormat="1">
      <c r="A47" s="32" t="s">
        <v>9</v>
      </c>
      <c r="B47" s="5">
        <f>B$9*0.6</f>
        <v>6</v>
      </c>
      <c r="C47" s="5"/>
      <c r="D47" s="32">
        <v>-100</v>
      </c>
      <c r="E47" s="32"/>
      <c r="F47" s="34"/>
      <c r="G47" s="32"/>
      <c r="H47" s="32">
        <f t="shared" si="0"/>
        <v>6</v>
      </c>
      <c r="I47" s="32"/>
      <c r="J47" s="32"/>
      <c r="K47" s="32"/>
      <c r="L47" s="32"/>
    </row>
    <row r="48" spans="1:12" s="33" customFormat="1">
      <c r="A48" s="32" t="s">
        <v>9</v>
      </c>
      <c r="B48" s="5">
        <f>B$9*0.5</f>
        <v>5</v>
      </c>
      <c r="C48" s="5"/>
      <c r="D48" s="32">
        <v>-100</v>
      </c>
      <c r="E48" s="32"/>
      <c r="F48" s="34"/>
      <c r="G48" s="32"/>
      <c r="H48" s="32">
        <f t="shared" si="0"/>
        <v>5</v>
      </c>
      <c r="I48" s="32"/>
      <c r="J48" s="32"/>
      <c r="K48" s="32"/>
      <c r="L48" s="32"/>
    </row>
    <row r="49" spans="1:32" s="33" customFormat="1">
      <c r="A49" s="32" t="s">
        <v>9</v>
      </c>
      <c r="B49" s="5">
        <f>B$9*0.4</f>
        <v>4</v>
      </c>
      <c r="C49" s="5"/>
      <c r="D49" s="32">
        <v>-100</v>
      </c>
      <c r="E49" s="32"/>
      <c r="F49" s="34"/>
      <c r="G49" s="32"/>
      <c r="H49" s="32">
        <f t="shared" si="0"/>
        <v>4</v>
      </c>
      <c r="I49" s="32"/>
      <c r="J49" s="32"/>
      <c r="K49" s="32"/>
      <c r="L49" s="32"/>
    </row>
    <row r="50" spans="1:32" s="33" customFormat="1">
      <c r="A50" s="32" t="s">
        <v>9</v>
      </c>
      <c r="B50" s="5">
        <f>B$9*0.3</f>
        <v>3</v>
      </c>
      <c r="C50" s="5"/>
      <c r="D50" s="32">
        <v>-100</v>
      </c>
      <c r="E50" s="32"/>
      <c r="F50" s="34"/>
      <c r="G50" s="32"/>
      <c r="H50" s="32">
        <f t="shared" si="0"/>
        <v>3</v>
      </c>
      <c r="I50" s="32"/>
      <c r="J50" s="32"/>
      <c r="K50" s="32"/>
      <c r="L50" s="32"/>
    </row>
    <row r="51" spans="1:32" s="33" customFormat="1">
      <c r="A51" s="32" t="s">
        <v>9</v>
      </c>
      <c r="B51" s="5">
        <f>B$9*0.2</f>
        <v>2</v>
      </c>
      <c r="C51" s="5"/>
      <c r="D51" s="32">
        <v>-100</v>
      </c>
      <c r="E51" s="32"/>
      <c r="F51" s="34"/>
      <c r="G51" s="32"/>
      <c r="H51" s="32">
        <f t="shared" si="0"/>
        <v>2</v>
      </c>
      <c r="I51" s="32"/>
      <c r="J51" s="32"/>
      <c r="K51" s="32"/>
      <c r="L51" s="32"/>
    </row>
    <row r="52" spans="1:32" s="33" customFormat="1">
      <c r="A52" s="32" t="s">
        <v>9</v>
      </c>
      <c r="B52" s="5">
        <f>B$9*0.1</f>
        <v>1</v>
      </c>
      <c r="C52" s="5"/>
      <c r="D52" s="32">
        <v>-100</v>
      </c>
      <c r="E52" s="32"/>
      <c r="F52" s="34"/>
      <c r="G52" s="32"/>
      <c r="H52" s="32">
        <f t="shared" si="0"/>
        <v>1</v>
      </c>
      <c r="I52" s="32"/>
      <c r="J52" s="32"/>
      <c r="K52" s="32"/>
      <c r="L52" s="32"/>
    </row>
    <row r="53" spans="1:32" s="33" customFormat="1">
      <c r="A53" s="32" t="s">
        <v>9</v>
      </c>
      <c r="B53" s="5">
        <f>B$9*0</f>
        <v>0</v>
      </c>
      <c r="C53" s="5"/>
      <c r="D53" s="32">
        <v>-100</v>
      </c>
      <c r="E53" s="32"/>
      <c r="F53" s="34"/>
      <c r="G53" s="32"/>
      <c r="H53" s="32">
        <f t="shared" si="0"/>
        <v>0</v>
      </c>
      <c r="I53" s="32"/>
      <c r="J53" s="32"/>
      <c r="K53" s="32"/>
      <c r="L53" s="32"/>
    </row>
    <row r="54" spans="1:32" s="28" customFormat="1">
      <c r="A54" s="29"/>
      <c r="B54" s="30"/>
      <c r="C54" s="30"/>
      <c r="D54" s="31"/>
      <c r="E54" s="29"/>
      <c r="F54" s="29"/>
      <c r="G54" s="29"/>
      <c r="H54" s="29"/>
      <c r="I54" s="29"/>
      <c r="J54" s="29"/>
      <c r="K54" s="29"/>
      <c r="L54" s="29"/>
      <c r="V54" s="29"/>
      <c r="W54" s="29"/>
      <c r="X54" s="29"/>
      <c r="Y54" s="29"/>
      <c r="Z54" s="29"/>
      <c r="AA54" s="29"/>
      <c r="AB54" s="29"/>
      <c r="AC54" s="29"/>
      <c r="AD54" s="29"/>
    </row>
    <row r="55" spans="1:32" s="28" customFormat="1">
      <c r="A55" s="29" t="str">
        <f>IF((B28-B29)&lt;0,"Margem Negativa - ERRO", "Margem Link Reverso")</f>
        <v>Margem Link Reverso</v>
      </c>
      <c r="B55" s="35">
        <f>(B29+B28)/2</f>
        <v>-76.528421881328967</v>
      </c>
      <c r="C55" s="30"/>
      <c r="D55" s="31"/>
      <c r="E55" s="29"/>
      <c r="F55" s="29"/>
      <c r="G55" s="29"/>
      <c r="H55" s="29"/>
      <c r="I55" s="29"/>
      <c r="J55" s="29"/>
      <c r="K55" s="29"/>
      <c r="L55" s="29"/>
      <c r="M55" s="29"/>
      <c r="N55" s="29"/>
      <c r="O55" s="29"/>
      <c r="P55" s="29"/>
      <c r="Q55" s="29"/>
      <c r="R55" s="29"/>
      <c r="S55" s="29"/>
      <c r="V55" s="29"/>
      <c r="W55" s="29"/>
      <c r="X55" s="29"/>
      <c r="Y55" s="29"/>
      <c r="Z55" s="29"/>
      <c r="AA55" s="29"/>
      <c r="AB55" s="29"/>
      <c r="AC55" s="29"/>
      <c r="AD55" s="29"/>
    </row>
    <row r="56" spans="1:32" s="28" customFormat="1">
      <c r="A56" s="31" t="str">
        <f>IF((B12-B17)&lt;0,"Margem Negativa - ERRO", "Margem Link Direto")</f>
        <v>Margem Link Direto</v>
      </c>
      <c r="B56" s="86">
        <f>(B12+B17)/2</f>
        <v>-18.189210940664488</v>
      </c>
      <c r="C56" s="87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31"/>
      <c r="S56" s="31"/>
      <c r="T56" s="27"/>
      <c r="U56" s="27"/>
      <c r="V56" s="31"/>
      <c r="W56" s="31"/>
      <c r="X56" s="31"/>
      <c r="Y56" s="31"/>
      <c r="Z56" s="31"/>
      <c r="AA56" s="31"/>
      <c r="AB56" s="31"/>
      <c r="AC56" s="31"/>
      <c r="AD56" s="31"/>
      <c r="AE56" s="27"/>
      <c r="AF56" s="27"/>
    </row>
    <row r="57" spans="1:32" s="28" customFormat="1">
      <c r="A57" s="31"/>
      <c r="B57" s="87"/>
      <c r="C57" s="87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31" t="s">
        <v>94</v>
      </c>
      <c r="R57" s="92">
        <f>300/B10</f>
        <v>0.32786885245901637</v>
      </c>
      <c r="S57" s="31"/>
      <c r="T57" s="27"/>
      <c r="U57" s="27"/>
      <c r="V57" s="31"/>
      <c r="W57" s="31"/>
      <c r="X57" s="31"/>
      <c r="Y57" s="31"/>
      <c r="Z57" s="31"/>
      <c r="AA57" s="31"/>
      <c r="AB57" s="31"/>
      <c r="AC57" s="31"/>
      <c r="AD57" s="31"/>
      <c r="AE57" s="27"/>
      <c r="AF57" s="27"/>
    </row>
    <row r="58" spans="1:32" s="28" customFormat="1">
      <c r="A58" s="31"/>
      <c r="B58" s="87"/>
      <c r="C58" s="87"/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93" t="s">
        <v>75</v>
      </c>
      <c r="O58" s="31"/>
      <c r="P58" s="31"/>
      <c r="Q58" s="93" t="s">
        <v>76</v>
      </c>
      <c r="R58" s="31">
        <f>10*R57</f>
        <v>3.2786885245901636</v>
      </c>
      <c r="S58" s="31"/>
      <c r="T58" s="27"/>
      <c r="U58" s="27"/>
      <c r="V58" s="31"/>
      <c r="W58" s="31"/>
      <c r="X58" s="31"/>
      <c r="Y58" s="31"/>
      <c r="Z58" s="31"/>
      <c r="AA58" s="31"/>
      <c r="AB58" s="31"/>
      <c r="AC58" s="31"/>
      <c r="AD58" s="31"/>
      <c r="AE58" s="27"/>
      <c r="AF58" s="27"/>
    </row>
    <row r="59" spans="1:32" s="28" customFormat="1">
      <c r="A59" s="31"/>
      <c r="B59" s="188" t="s">
        <v>26</v>
      </c>
      <c r="C59" s="188"/>
      <c r="D59" s="188"/>
      <c r="E59" s="188"/>
      <c r="F59" s="88">
        <v>127</v>
      </c>
      <c r="G59" s="31"/>
      <c r="H59" s="188" t="s">
        <v>27</v>
      </c>
      <c r="I59" s="188"/>
      <c r="J59" s="188"/>
      <c r="K59" s="188"/>
      <c r="L59" s="31"/>
      <c r="M59" s="31"/>
      <c r="N59" s="91" t="s">
        <v>74</v>
      </c>
      <c r="O59" s="91" t="s">
        <v>73</v>
      </c>
      <c r="P59" s="31"/>
      <c r="Q59" s="91"/>
      <c r="R59" s="94"/>
      <c r="S59" s="31"/>
      <c r="T59" s="27"/>
      <c r="U59" s="27"/>
      <c r="V59" s="31"/>
      <c r="W59" s="31"/>
      <c r="X59" s="31"/>
      <c r="Y59" s="31"/>
      <c r="Z59" s="31"/>
      <c r="AA59" s="90">
        <v>240</v>
      </c>
      <c r="AB59" s="90">
        <v>64</v>
      </c>
      <c r="AC59" s="31"/>
      <c r="AD59" s="31"/>
      <c r="AE59" s="27"/>
      <c r="AF59" s="27"/>
    </row>
    <row r="60" spans="1:32" s="28" customFormat="1">
      <c r="A60" s="31"/>
      <c r="B60" s="87">
        <v>0</v>
      </c>
      <c r="C60" s="87"/>
      <c r="D60" s="31">
        <f>B$9/100*B60</f>
        <v>0</v>
      </c>
      <c r="E60" s="89">
        <f>B8</f>
        <v>36</v>
      </c>
      <c r="F60" s="31"/>
      <c r="G60" s="31">
        <f>E60</f>
        <v>36</v>
      </c>
      <c r="H60" s="31">
        <v>0</v>
      </c>
      <c r="I60" s="87">
        <f>B$9-J60</f>
        <v>10</v>
      </c>
      <c r="J60" s="31">
        <f>H$9/100*H60</f>
        <v>0</v>
      </c>
      <c r="K60" s="89">
        <f>B21</f>
        <v>-25.378421881328975</v>
      </c>
      <c r="L60" s="31"/>
      <c r="M60" s="31"/>
      <c r="N60" s="86">
        <f>$B$8</f>
        <v>36</v>
      </c>
      <c r="O60" s="94">
        <f>O61</f>
        <v>0.13725000000000001</v>
      </c>
      <c r="P60" s="31"/>
      <c r="Q60" s="86">
        <f>IF(B9&lt;R58,,36)</f>
        <v>36</v>
      </c>
      <c r="R60" s="94">
        <f>IF(B9&lt;R58,,R58)</f>
        <v>3.2786885245901636</v>
      </c>
      <c r="S60" s="31"/>
      <c r="T60" s="27"/>
      <c r="U60" s="27"/>
      <c r="V60" s="31"/>
      <c r="W60" s="31"/>
      <c r="X60" s="31"/>
      <c r="Y60" s="31"/>
      <c r="Z60" s="31"/>
      <c r="AA60" s="31"/>
      <c r="AB60" s="31"/>
      <c r="AC60" s="31"/>
      <c r="AD60" s="31"/>
      <c r="AE60" s="27"/>
      <c r="AF60" s="27"/>
    </row>
    <row r="61" spans="1:32" s="28" customFormat="1">
      <c r="A61" s="31"/>
      <c r="B61" s="87">
        <v>1</v>
      </c>
      <c r="C61" s="87"/>
      <c r="D61" s="31">
        <f>B$9/100*B61</f>
        <v>0.1</v>
      </c>
      <c r="E61" s="31">
        <f t="shared" ref="E61:E125" si="1">B$8+(27.55-20*LOG(D61,10)-20*LOG(B$10,10))</f>
        <v>24.321578118671034</v>
      </c>
      <c r="F61" s="31"/>
      <c r="G61" s="31"/>
      <c r="H61" s="31">
        <v>1</v>
      </c>
      <c r="I61" s="87">
        <f t="shared" ref="I61:I124" si="2">B$9-J61</f>
        <v>9.9</v>
      </c>
      <c r="J61" s="31">
        <f t="shared" ref="J61:J125" si="3">B$9/100*H61</f>
        <v>0.1</v>
      </c>
      <c r="K61" s="31">
        <f t="shared" ref="K61:K92" si="4">B$21+(27.55-20*LOG(J61,10)-20*LOG(B$10,10))</f>
        <v>-37.056843762657941</v>
      </c>
      <c r="L61" s="31"/>
      <c r="M61" s="31"/>
      <c r="N61" s="86">
        <v>-98</v>
      </c>
      <c r="O61" s="94">
        <f>(2*((B7/100)*(B7/100)))/(300/B10)</f>
        <v>0.13725000000000001</v>
      </c>
      <c r="P61" s="31"/>
      <c r="Q61" s="86">
        <f>IF(B9&lt;R58,,-98)</f>
        <v>-98</v>
      </c>
      <c r="R61" s="94">
        <f>IF(B9&lt;R58,,R58)</f>
        <v>3.2786885245901636</v>
      </c>
      <c r="S61" s="31"/>
      <c r="T61" s="27"/>
      <c r="U61" s="27"/>
      <c r="V61" s="31"/>
      <c r="W61" s="31"/>
      <c r="X61" s="31"/>
      <c r="Y61" s="31"/>
      <c r="Z61" s="31"/>
      <c r="AA61" s="31"/>
      <c r="AB61" s="31"/>
      <c r="AC61" s="31"/>
      <c r="AD61" s="31"/>
      <c r="AE61" s="27"/>
      <c r="AF61" s="27"/>
    </row>
    <row r="62" spans="1:32" s="28" customFormat="1">
      <c r="A62" s="31"/>
      <c r="B62" s="87">
        <v>2</v>
      </c>
      <c r="C62" s="87"/>
      <c r="D62" s="31">
        <f t="shared" ref="D62:D125" si="5">B$9/100*B62</f>
        <v>0.2</v>
      </c>
      <c r="E62" s="31">
        <f t="shared" si="1"/>
        <v>18.300978205391409</v>
      </c>
      <c r="F62" s="31"/>
      <c r="G62" s="31"/>
      <c r="H62" s="31">
        <v>2</v>
      </c>
      <c r="I62" s="87">
        <f t="shared" si="2"/>
        <v>9.8000000000000007</v>
      </c>
      <c r="J62" s="31">
        <f t="shared" si="3"/>
        <v>0.2</v>
      </c>
      <c r="K62" s="31">
        <f t="shared" si="4"/>
        <v>-43.077443675937566</v>
      </c>
      <c r="L62" s="31"/>
      <c r="M62" s="31"/>
      <c r="N62" s="31"/>
      <c r="O62" s="31"/>
      <c r="P62" s="31"/>
      <c r="Q62" s="31"/>
      <c r="R62" s="31"/>
      <c r="S62" s="31"/>
      <c r="T62" s="27"/>
      <c r="U62" s="27"/>
      <c r="V62" s="31"/>
      <c r="W62" s="31"/>
      <c r="X62" s="31"/>
      <c r="Y62" s="31"/>
      <c r="Z62" s="31"/>
      <c r="AA62" s="31"/>
      <c r="AB62" s="31"/>
      <c r="AC62" s="31"/>
      <c r="AD62" s="31"/>
      <c r="AE62" s="27"/>
      <c r="AF62" s="27"/>
    </row>
    <row r="63" spans="1:32" s="28" customFormat="1">
      <c r="A63" s="31"/>
      <c r="B63" s="87">
        <v>3</v>
      </c>
      <c r="C63" s="87"/>
      <c r="D63" s="31">
        <f t="shared" si="5"/>
        <v>0.30000000000000004</v>
      </c>
      <c r="E63" s="31">
        <f t="shared" si="1"/>
        <v>14.77915302427779</v>
      </c>
      <c r="F63" s="31"/>
      <c r="G63" s="31"/>
      <c r="H63" s="31">
        <v>3</v>
      </c>
      <c r="I63" s="87">
        <f t="shared" si="2"/>
        <v>9.6999999999999993</v>
      </c>
      <c r="J63" s="31">
        <f t="shared" si="3"/>
        <v>0.30000000000000004</v>
      </c>
      <c r="K63" s="31">
        <f t="shared" si="4"/>
        <v>-46.599268857051186</v>
      </c>
      <c r="L63" s="31"/>
      <c r="M63" s="31"/>
      <c r="N63" s="31"/>
      <c r="O63" s="31"/>
      <c r="P63" s="31"/>
      <c r="Q63" s="31"/>
      <c r="R63" s="31"/>
      <c r="S63" s="31"/>
      <c r="T63" s="27"/>
      <c r="U63" s="27"/>
      <c r="V63" s="31"/>
      <c r="W63" s="31"/>
      <c r="X63" s="31"/>
      <c r="Y63" s="31"/>
      <c r="Z63" s="31"/>
      <c r="AA63" s="31"/>
      <c r="AB63" s="31"/>
      <c r="AC63" s="31"/>
      <c r="AD63" s="31"/>
      <c r="AE63" s="27"/>
      <c r="AF63" s="27"/>
    </row>
    <row r="64" spans="1:32" s="28" customFormat="1">
      <c r="A64" s="31"/>
      <c r="B64" s="87">
        <v>4</v>
      </c>
      <c r="C64" s="87"/>
      <c r="D64" s="31">
        <f t="shared" si="5"/>
        <v>0.4</v>
      </c>
      <c r="E64" s="31">
        <f t="shared" si="1"/>
        <v>12.280378292111791</v>
      </c>
      <c r="F64" s="31"/>
      <c r="G64" s="31"/>
      <c r="H64" s="31">
        <v>4</v>
      </c>
      <c r="I64" s="87">
        <f t="shared" si="2"/>
        <v>9.6</v>
      </c>
      <c r="J64" s="31">
        <f t="shared" si="3"/>
        <v>0.4</v>
      </c>
      <c r="K64" s="31">
        <f t="shared" si="4"/>
        <v>-49.098043589217184</v>
      </c>
      <c r="L64" s="31"/>
      <c r="M64" s="31"/>
      <c r="N64" s="31"/>
      <c r="O64" s="31"/>
      <c r="P64" s="31"/>
      <c r="Q64" s="31"/>
      <c r="R64" s="31"/>
      <c r="S64" s="31"/>
      <c r="T64" s="27"/>
      <c r="U64" s="27"/>
      <c r="V64" s="31"/>
      <c r="W64" s="31"/>
      <c r="X64" s="31"/>
      <c r="Y64" s="31"/>
      <c r="Z64" s="31"/>
      <c r="AA64" s="31"/>
      <c r="AB64" s="31"/>
      <c r="AC64" s="31"/>
      <c r="AD64" s="31"/>
      <c r="AE64" s="27"/>
      <c r="AF64" s="27"/>
    </row>
    <row r="65" spans="1:32" s="28" customFormat="1">
      <c r="A65" s="31"/>
      <c r="B65" s="87">
        <v>5</v>
      </c>
      <c r="C65" s="87"/>
      <c r="D65" s="31">
        <f t="shared" si="5"/>
        <v>0.5</v>
      </c>
      <c r="E65" s="31">
        <f t="shared" si="1"/>
        <v>10.34217803195066</v>
      </c>
      <c r="F65" s="31"/>
      <c r="G65" s="31"/>
      <c r="H65" s="31">
        <v>5</v>
      </c>
      <c r="I65" s="87">
        <f t="shared" si="2"/>
        <v>9.5</v>
      </c>
      <c r="J65" s="31">
        <f t="shared" si="3"/>
        <v>0.5</v>
      </c>
      <c r="K65" s="31">
        <f t="shared" si="4"/>
        <v>-51.036243849378316</v>
      </c>
      <c r="L65" s="31"/>
      <c r="M65" s="27"/>
      <c r="N65" s="27"/>
      <c r="O65" s="27"/>
      <c r="P65" s="27"/>
      <c r="Q65" s="27"/>
      <c r="R65" s="27"/>
      <c r="S65" s="27"/>
      <c r="T65" s="27"/>
      <c r="U65" s="27"/>
      <c r="V65" s="31"/>
      <c r="W65" s="31"/>
      <c r="X65" s="31"/>
      <c r="Y65" s="31"/>
      <c r="Z65" s="31"/>
      <c r="AA65" s="31"/>
      <c r="AB65" s="31"/>
      <c r="AC65" s="31"/>
      <c r="AD65" s="31"/>
      <c r="AE65" s="27"/>
      <c r="AF65" s="27"/>
    </row>
    <row r="66" spans="1:32" s="28" customFormat="1">
      <c r="A66" s="31"/>
      <c r="B66" s="87">
        <v>6</v>
      </c>
      <c r="C66" s="87"/>
      <c r="D66" s="31">
        <f t="shared" si="5"/>
        <v>0.60000000000000009</v>
      </c>
      <c r="E66" s="31">
        <f t="shared" si="1"/>
        <v>8.7585531109981645</v>
      </c>
      <c r="F66" s="31"/>
      <c r="G66" s="31"/>
      <c r="H66" s="31">
        <v>6</v>
      </c>
      <c r="I66" s="87">
        <f t="shared" si="2"/>
        <v>9.4</v>
      </c>
      <c r="J66" s="31">
        <f t="shared" si="3"/>
        <v>0.60000000000000009</v>
      </c>
      <c r="K66" s="31">
        <f t="shared" si="4"/>
        <v>-52.619868770330811</v>
      </c>
      <c r="L66" s="31"/>
      <c r="M66" s="27"/>
      <c r="N66" s="27"/>
      <c r="O66" s="27"/>
      <c r="P66" s="27"/>
      <c r="Q66" s="27"/>
      <c r="R66" s="27"/>
      <c r="S66" s="27"/>
      <c r="T66" s="27"/>
      <c r="U66" s="27"/>
      <c r="V66" s="31"/>
      <c r="W66" s="31"/>
      <c r="X66" s="31"/>
      <c r="Y66" s="31"/>
      <c r="Z66" s="31"/>
      <c r="AA66" s="31"/>
      <c r="AB66" s="31"/>
      <c r="AC66" s="31"/>
      <c r="AD66" s="31"/>
      <c r="AE66" s="27"/>
      <c r="AF66" s="27"/>
    </row>
    <row r="67" spans="1:32" s="28" customFormat="1">
      <c r="A67" s="31"/>
      <c r="B67" s="87">
        <v>7</v>
      </c>
      <c r="C67" s="87"/>
      <c r="D67" s="31">
        <f t="shared" si="5"/>
        <v>0.70000000000000007</v>
      </c>
      <c r="E67" s="31">
        <f t="shared" si="1"/>
        <v>7.4196173183858996</v>
      </c>
      <c r="F67" s="31"/>
      <c r="G67" s="31"/>
      <c r="H67" s="31">
        <v>7</v>
      </c>
      <c r="I67" s="87">
        <f t="shared" si="2"/>
        <v>9.3000000000000007</v>
      </c>
      <c r="J67" s="31">
        <f t="shared" si="3"/>
        <v>0.70000000000000007</v>
      </c>
      <c r="K67" s="31">
        <f t="shared" si="4"/>
        <v>-53.958804562943072</v>
      </c>
      <c r="L67" s="31"/>
      <c r="M67" s="27"/>
      <c r="N67" s="27"/>
      <c r="O67" s="27"/>
      <c r="P67" s="27"/>
      <c r="Q67" s="27"/>
      <c r="R67" s="27"/>
      <c r="S67" s="27"/>
      <c r="T67" s="27"/>
      <c r="U67" s="27"/>
      <c r="V67" s="27"/>
      <c r="W67" s="27"/>
      <c r="X67" s="27"/>
      <c r="Y67" s="27"/>
      <c r="Z67" s="27"/>
      <c r="AA67" s="27"/>
      <c r="AB67" s="27"/>
      <c r="AC67" s="27"/>
      <c r="AD67" s="27"/>
      <c r="AE67" s="27"/>
      <c r="AF67" s="27"/>
    </row>
    <row r="68" spans="1:32" s="28" customFormat="1">
      <c r="A68" s="31"/>
      <c r="B68" s="87">
        <v>8</v>
      </c>
      <c r="C68" s="87"/>
      <c r="D68" s="31">
        <f t="shared" si="5"/>
        <v>0.8</v>
      </c>
      <c r="E68" s="31">
        <f t="shared" si="1"/>
        <v>6.2597783788321664</v>
      </c>
      <c r="F68" s="31"/>
      <c r="G68" s="31"/>
      <c r="H68" s="31">
        <v>8</v>
      </c>
      <c r="I68" s="87">
        <f t="shared" si="2"/>
        <v>9.1999999999999993</v>
      </c>
      <c r="J68" s="31">
        <f t="shared" si="3"/>
        <v>0.8</v>
      </c>
      <c r="K68" s="31">
        <f t="shared" si="4"/>
        <v>-55.118643502496809</v>
      </c>
      <c r="L68" s="31"/>
      <c r="M68" s="27"/>
      <c r="N68" s="27"/>
      <c r="O68" s="27"/>
      <c r="P68" s="27"/>
      <c r="Q68" s="27"/>
      <c r="R68" s="27"/>
      <c r="S68" s="27"/>
      <c r="T68" s="27"/>
      <c r="U68" s="27"/>
      <c r="V68" s="27"/>
      <c r="W68" s="27"/>
      <c r="X68" s="27"/>
      <c r="Y68" s="27"/>
      <c r="Z68" s="27"/>
      <c r="AA68" s="27"/>
      <c r="AB68" s="27"/>
      <c r="AC68" s="27"/>
      <c r="AD68" s="27"/>
      <c r="AE68" s="27"/>
      <c r="AF68" s="27"/>
    </row>
    <row r="69" spans="1:32" s="28" customFormat="1">
      <c r="A69" s="31"/>
      <c r="B69" s="87">
        <v>9</v>
      </c>
      <c r="C69" s="87"/>
      <c r="D69" s="31">
        <f t="shared" si="5"/>
        <v>0.9</v>
      </c>
      <c r="E69" s="31">
        <f t="shared" si="1"/>
        <v>5.2367279298845411</v>
      </c>
      <c r="F69" s="31"/>
      <c r="G69" s="31"/>
      <c r="H69" s="31">
        <v>9</v>
      </c>
      <c r="I69" s="87">
        <f t="shared" si="2"/>
        <v>9.1</v>
      </c>
      <c r="J69" s="31">
        <f t="shared" si="3"/>
        <v>0.9</v>
      </c>
      <c r="K69" s="31">
        <f t="shared" si="4"/>
        <v>-56.141693951444438</v>
      </c>
      <c r="L69" s="31"/>
      <c r="M69" s="27"/>
      <c r="N69" s="27"/>
      <c r="O69" s="27"/>
      <c r="P69" s="27"/>
      <c r="Q69" s="27"/>
      <c r="R69" s="27"/>
      <c r="S69" s="27"/>
      <c r="T69" s="27"/>
      <c r="U69" s="27"/>
      <c r="V69" s="27"/>
      <c r="W69" s="27"/>
      <c r="X69" s="27"/>
      <c r="Y69" s="27"/>
      <c r="Z69" s="27"/>
      <c r="AA69" s="27"/>
      <c r="AB69" s="27"/>
      <c r="AC69" s="27"/>
      <c r="AD69" s="27"/>
      <c r="AE69" s="27"/>
      <c r="AF69" s="27"/>
    </row>
    <row r="70" spans="1:32" s="28" customFormat="1">
      <c r="A70" s="31"/>
      <c r="B70" s="87">
        <v>10</v>
      </c>
      <c r="C70" s="87"/>
      <c r="D70" s="31">
        <f t="shared" si="5"/>
        <v>1</v>
      </c>
      <c r="E70" s="31">
        <f t="shared" si="1"/>
        <v>4.321578118671038</v>
      </c>
      <c r="F70" s="31"/>
      <c r="G70" s="31"/>
      <c r="H70" s="31">
        <v>10</v>
      </c>
      <c r="I70" s="87">
        <f t="shared" si="2"/>
        <v>9</v>
      </c>
      <c r="J70" s="31">
        <f t="shared" si="3"/>
        <v>1</v>
      </c>
      <c r="K70" s="31">
        <f t="shared" si="4"/>
        <v>-57.056843762657934</v>
      </c>
      <c r="L70" s="31"/>
      <c r="M70" s="27"/>
      <c r="N70" s="27"/>
      <c r="O70" s="27"/>
      <c r="P70" s="27"/>
      <c r="Q70" s="27"/>
      <c r="R70" s="27"/>
      <c r="S70" s="27"/>
      <c r="T70" s="27"/>
      <c r="U70" s="27"/>
      <c r="V70" s="27"/>
      <c r="W70" s="27"/>
      <c r="X70" s="27"/>
      <c r="Y70" s="27"/>
      <c r="Z70" s="27"/>
      <c r="AA70" s="27"/>
      <c r="AB70" s="27"/>
      <c r="AC70" s="27"/>
      <c r="AD70" s="27"/>
      <c r="AE70" s="27"/>
      <c r="AF70" s="27"/>
    </row>
    <row r="71" spans="1:32" s="28" customFormat="1">
      <c r="A71" s="31"/>
      <c r="B71" s="87">
        <v>11</v>
      </c>
      <c r="C71" s="87"/>
      <c r="D71" s="31">
        <f t="shared" si="5"/>
        <v>1.1000000000000001</v>
      </c>
      <c r="E71" s="31">
        <f t="shared" si="1"/>
        <v>3.4937244155065343</v>
      </c>
      <c r="F71" s="31"/>
      <c r="G71" s="31"/>
      <c r="H71" s="31">
        <v>11</v>
      </c>
      <c r="I71" s="87">
        <f t="shared" si="2"/>
        <v>8.9</v>
      </c>
      <c r="J71" s="31">
        <f t="shared" si="3"/>
        <v>1.1000000000000001</v>
      </c>
      <c r="K71" s="31">
        <f t="shared" si="4"/>
        <v>-57.884697465822441</v>
      </c>
      <c r="L71" s="31"/>
      <c r="M71" s="27"/>
      <c r="N71" s="27"/>
      <c r="O71" s="27"/>
      <c r="P71" s="27"/>
      <c r="Q71" s="27"/>
      <c r="R71" s="27"/>
      <c r="S71" s="27"/>
      <c r="T71" s="27"/>
      <c r="U71" s="27"/>
      <c r="V71" s="27"/>
      <c r="W71" s="27"/>
      <c r="X71" s="27"/>
      <c r="Y71" s="27"/>
      <c r="Z71" s="27"/>
      <c r="AA71" s="27"/>
      <c r="AB71" s="27"/>
      <c r="AC71" s="27"/>
      <c r="AD71" s="27"/>
      <c r="AE71" s="27"/>
      <c r="AF71" s="27"/>
    </row>
    <row r="72" spans="1:32" s="28" customFormat="1">
      <c r="A72" s="31"/>
      <c r="B72" s="87">
        <v>12</v>
      </c>
      <c r="C72" s="87"/>
      <c r="D72" s="31">
        <f t="shared" si="5"/>
        <v>1.2000000000000002</v>
      </c>
      <c r="E72" s="31">
        <f t="shared" si="1"/>
        <v>2.7379531977185394</v>
      </c>
      <c r="F72" s="31"/>
      <c r="G72" s="31"/>
      <c r="H72" s="31">
        <v>12</v>
      </c>
      <c r="I72" s="87">
        <f t="shared" si="2"/>
        <v>8.8000000000000007</v>
      </c>
      <c r="J72" s="31">
        <f t="shared" si="3"/>
        <v>1.2000000000000002</v>
      </c>
      <c r="K72" s="31">
        <f t="shared" si="4"/>
        <v>-58.640468683610436</v>
      </c>
      <c r="L72" s="31"/>
      <c r="M72" s="27"/>
      <c r="N72" s="27"/>
      <c r="O72" s="27"/>
      <c r="P72" s="27"/>
      <c r="Q72" s="27"/>
      <c r="R72" s="27"/>
      <c r="S72" s="27"/>
      <c r="T72" s="27"/>
      <c r="U72" s="27"/>
      <c r="V72" s="27"/>
      <c r="W72" s="27"/>
      <c r="X72" s="27"/>
      <c r="Y72" s="27"/>
      <c r="Z72" s="27"/>
      <c r="AA72" s="27"/>
      <c r="AB72" s="27"/>
      <c r="AC72" s="27"/>
      <c r="AD72" s="27"/>
      <c r="AE72" s="27"/>
      <c r="AF72" s="27"/>
    </row>
    <row r="73" spans="1:32" s="28" customFormat="1">
      <c r="A73" s="31"/>
      <c r="B73" s="87">
        <v>13</v>
      </c>
      <c r="C73" s="87"/>
      <c r="D73" s="31">
        <f t="shared" si="5"/>
        <v>1.3</v>
      </c>
      <c r="E73" s="31">
        <f t="shared" si="1"/>
        <v>2.0427110725343027</v>
      </c>
      <c r="F73" s="31"/>
      <c r="G73" s="31"/>
      <c r="H73" s="31">
        <v>13</v>
      </c>
      <c r="I73" s="87">
        <f t="shared" si="2"/>
        <v>8.6999999999999993</v>
      </c>
      <c r="J73" s="31">
        <f t="shared" si="3"/>
        <v>1.3</v>
      </c>
      <c r="K73" s="31">
        <f t="shared" si="4"/>
        <v>-59.335710808794673</v>
      </c>
      <c r="L73" s="31"/>
      <c r="M73" s="27"/>
      <c r="N73" s="27"/>
      <c r="O73" s="27"/>
      <c r="P73" s="27"/>
      <c r="Q73" s="27"/>
      <c r="R73" s="27"/>
      <c r="S73" s="27"/>
      <c r="T73" s="27"/>
      <c r="U73" s="27"/>
      <c r="V73" s="27"/>
      <c r="W73" s="27"/>
      <c r="X73" s="27"/>
      <c r="Y73" s="27"/>
      <c r="Z73" s="27"/>
      <c r="AA73" s="27"/>
      <c r="AB73" s="27"/>
      <c r="AC73" s="27"/>
      <c r="AD73" s="27"/>
      <c r="AE73" s="27"/>
      <c r="AF73" s="27"/>
    </row>
    <row r="74" spans="1:32" s="28" customFormat="1">
      <c r="A74" s="31"/>
      <c r="B74" s="87">
        <v>14</v>
      </c>
      <c r="C74" s="87"/>
      <c r="D74" s="31">
        <f t="shared" si="5"/>
        <v>1.4000000000000001</v>
      </c>
      <c r="E74" s="31">
        <f t="shared" si="1"/>
        <v>1.399017405106278</v>
      </c>
      <c r="F74" s="31"/>
      <c r="G74" s="31"/>
      <c r="H74" s="31">
        <v>14</v>
      </c>
      <c r="I74" s="87">
        <f t="shared" si="2"/>
        <v>8.6</v>
      </c>
      <c r="J74" s="31">
        <f t="shared" si="3"/>
        <v>1.4000000000000001</v>
      </c>
      <c r="K74" s="31">
        <f t="shared" si="4"/>
        <v>-59.979404476222697</v>
      </c>
      <c r="L74" s="31"/>
      <c r="M74" s="27"/>
      <c r="N74" s="27"/>
      <c r="O74" s="27"/>
      <c r="P74" s="27"/>
      <c r="Q74" s="27"/>
      <c r="R74" s="27"/>
      <c r="S74" s="27"/>
      <c r="T74" s="27"/>
      <c r="U74" s="27"/>
      <c r="V74" s="27"/>
      <c r="W74" s="27"/>
      <c r="X74" s="27"/>
      <c r="Y74" s="27"/>
      <c r="Z74" s="27"/>
      <c r="AA74" s="27"/>
      <c r="AB74" s="27"/>
      <c r="AC74" s="27"/>
      <c r="AD74" s="27"/>
      <c r="AE74" s="27"/>
      <c r="AF74" s="27"/>
    </row>
    <row r="75" spans="1:32" s="28" customFormat="1">
      <c r="A75" s="31"/>
      <c r="B75" s="87">
        <v>15</v>
      </c>
      <c r="C75" s="87"/>
      <c r="D75" s="31">
        <f t="shared" si="5"/>
        <v>1.5</v>
      </c>
      <c r="E75" s="31">
        <f t="shared" si="1"/>
        <v>0.79975293755741461</v>
      </c>
      <c r="F75" s="31"/>
      <c r="G75" s="31"/>
      <c r="H75" s="31">
        <v>15</v>
      </c>
      <c r="I75" s="87">
        <f t="shared" si="2"/>
        <v>8.5</v>
      </c>
      <c r="J75" s="31">
        <f t="shared" si="3"/>
        <v>1.5</v>
      </c>
      <c r="K75" s="31">
        <f t="shared" si="4"/>
        <v>-60.578668943771561</v>
      </c>
      <c r="L75" s="31"/>
      <c r="M75" s="27"/>
      <c r="N75" s="27"/>
      <c r="O75" s="27"/>
      <c r="P75" s="27"/>
      <c r="Q75" s="27"/>
      <c r="R75" s="27"/>
      <c r="S75" s="27"/>
      <c r="T75" s="27"/>
      <c r="U75" s="27"/>
      <c r="V75" s="27"/>
      <c r="W75" s="27"/>
      <c r="X75" s="27"/>
      <c r="Y75" s="27"/>
      <c r="Z75" s="27"/>
      <c r="AA75" s="27"/>
      <c r="AB75" s="27"/>
      <c r="AC75" s="27"/>
      <c r="AD75" s="27"/>
      <c r="AE75" s="27"/>
      <c r="AF75" s="27"/>
    </row>
    <row r="76" spans="1:32" s="28" customFormat="1">
      <c r="A76" s="31"/>
      <c r="B76" s="87">
        <v>16</v>
      </c>
      <c r="C76" s="87"/>
      <c r="D76" s="31">
        <f t="shared" si="5"/>
        <v>1.6</v>
      </c>
      <c r="E76" s="31">
        <f t="shared" si="1"/>
        <v>0.2391784655525413</v>
      </c>
      <c r="F76" s="31"/>
      <c r="G76" s="31"/>
      <c r="H76" s="31">
        <v>16</v>
      </c>
      <c r="I76" s="87">
        <f t="shared" si="2"/>
        <v>8.4</v>
      </c>
      <c r="J76" s="31">
        <f t="shared" si="3"/>
        <v>1.6</v>
      </c>
      <c r="K76" s="31">
        <f t="shared" si="4"/>
        <v>-61.139243415776434</v>
      </c>
      <c r="L76" s="31"/>
      <c r="M76" s="27"/>
      <c r="N76" s="27"/>
      <c r="O76" s="27"/>
      <c r="P76" s="27"/>
      <c r="Q76" s="27"/>
      <c r="R76" s="27"/>
      <c r="S76" s="27"/>
      <c r="T76" s="27"/>
      <c r="U76" s="27"/>
      <c r="V76" s="27"/>
      <c r="W76" s="27"/>
      <c r="X76" s="27"/>
      <c r="Y76" s="27"/>
      <c r="Z76" s="27"/>
      <c r="AA76" s="27"/>
      <c r="AB76" s="27"/>
      <c r="AC76" s="27"/>
      <c r="AD76" s="27"/>
      <c r="AE76" s="27"/>
      <c r="AF76" s="27"/>
    </row>
    <row r="77" spans="1:32" s="28" customFormat="1">
      <c r="A77" s="31"/>
      <c r="B77" s="87">
        <v>17</v>
      </c>
      <c r="C77" s="87"/>
      <c r="D77" s="31">
        <f t="shared" si="5"/>
        <v>1.7000000000000002</v>
      </c>
      <c r="E77" s="31">
        <f t="shared" si="1"/>
        <v>-0.28740030889444057</v>
      </c>
      <c r="F77" s="31"/>
      <c r="G77" s="31"/>
      <c r="H77" s="31">
        <v>17</v>
      </c>
      <c r="I77" s="87">
        <f t="shared" si="2"/>
        <v>8.3000000000000007</v>
      </c>
      <c r="J77" s="31">
        <f t="shared" si="3"/>
        <v>1.7000000000000002</v>
      </c>
      <c r="K77" s="31">
        <f t="shared" si="4"/>
        <v>-61.665822190223416</v>
      </c>
      <c r="L77" s="31"/>
      <c r="M77" s="27"/>
      <c r="N77" s="27"/>
      <c r="O77" s="27"/>
      <c r="P77" s="27"/>
      <c r="Q77" s="27"/>
      <c r="R77" s="27"/>
      <c r="S77" s="27"/>
      <c r="T77" s="27"/>
      <c r="U77" s="27"/>
      <c r="V77" s="27"/>
      <c r="W77" s="27"/>
      <c r="X77" s="27"/>
      <c r="Y77" s="27"/>
      <c r="Z77" s="27"/>
      <c r="AA77" s="27"/>
      <c r="AB77" s="27"/>
      <c r="AC77" s="27"/>
      <c r="AD77" s="27"/>
      <c r="AE77" s="27"/>
      <c r="AF77" s="27"/>
    </row>
    <row r="78" spans="1:32" s="28" customFormat="1">
      <c r="A78" s="31"/>
      <c r="B78" s="87">
        <v>18</v>
      </c>
      <c r="C78" s="87"/>
      <c r="D78" s="31">
        <f t="shared" si="5"/>
        <v>1.8</v>
      </c>
      <c r="E78" s="31">
        <f t="shared" si="1"/>
        <v>-0.78387198339508757</v>
      </c>
      <c r="F78" s="31"/>
      <c r="G78" s="31"/>
      <c r="H78" s="31">
        <v>18</v>
      </c>
      <c r="I78" s="87">
        <f t="shared" si="2"/>
        <v>8.1999999999999993</v>
      </c>
      <c r="J78" s="31">
        <f t="shared" si="3"/>
        <v>1.8</v>
      </c>
      <c r="K78" s="31">
        <f t="shared" si="4"/>
        <v>-62.162293864724063</v>
      </c>
      <c r="L78" s="31"/>
      <c r="M78" s="27"/>
      <c r="N78" s="27"/>
      <c r="O78" s="27"/>
      <c r="P78" s="27"/>
      <c r="Q78" s="27"/>
      <c r="R78" s="27"/>
      <c r="S78" s="27"/>
      <c r="T78" s="27"/>
      <c r="U78" s="27"/>
      <c r="V78" s="27"/>
      <c r="W78" s="27"/>
      <c r="X78" s="27"/>
      <c r="Y78" s="27"/>
      <c r="Z78" s="27"/>
      <c r="AA78" s="27"/>
      <c r="AB78" s="27"/>
      <c r="AC78" s="27"/>
      <c r="AD78" s="27"/>
      <c r="AE78" s="27"/>
      <c r="AF78" s="27"/>
    </row>
    <row r="79" spans="1:32" s="28" customFormat="1">
      <c r="A79" s="31"/>
      <c r="B79" s="87">
        <v>19</v>
      </c>
      <c r="C79" s="87"/>
      <c r="D79" s="31">
        <f t="shared" si="5"/>
        <v>1.9000000000000001</v>
      </c>
      <c r="E79" s="31">
        <f t="shared" si="1"/>
        <v>-1.2534939003855428</v>
      </c>
      <c r="F79" s="31"/>
      <c r="G79" s="31"/>
      <c r="H79" s="31">
        <v>19</v>
      </c>
      <c r="I79" s="87">
        <f t="shared" si="2"/>
        <v>8.1</v>
      </c>
      <c r="J79" s="31">
        <f t="shared" si="3"/>
        <v>1.9000000000000001</v>
      </c>
      <c r="K79" s="31">
        <f t="shared" si="4"/>
        <v>-62.631915781714518</v>
      </c>
      <c r="L79" s="31"/>
      <c r="M79" s="27"/>
      <c r="N79" s="27"/>
      <c r="O79" s="27"/>
      <c r="P79" s="27"/>
      <c r="Q79" s="27"/>
      <c r="R79" s="27"/>
      <c r="S79" s="27"/>
      <c r="T79" s="27"/>
      <c r="U79" s="27"/>
      <c r="V79" s="27"/>
      <c r="W79" s="27"/>
      <c r="X79" s="27"/>
      <c r="Y79" s="27"/>
      <c r="Z79" s="27"/>
      <c r="AA79" s="27"/>
      <c r="AB79" s="27"/>
      <c r="AC79" s="27"/>
      <c r="AD79" s="27"/>
      <c r="AE79" s="27"/>
      <c r="AF79" s="27"/>
    </row>
    <row r="80" spans="1:32" s="28" customFormat="1">
      <c r="A80" s="31"/>
      <c r="B80" s="87">
        <v>20</v>
      </c>
      <c r="C80" s="87"/>
      <c r="D80" s="31">
        <f t="shared" si="5"/>
        <v>2</v>
      </c>
      <c r="E80" s="31">
        <f t="shared" si="1"/>
        <v>-1.6990217946085835</v>
      </c>
      <c r="F80" s="31"/>
      <c r="G80" s="31"/>
      <c r="H80" s="31">
        <v>20</v>
      </c>
      <c r="I80" s="87">
        <f t="shared" si="2"/>
        <v>8</v>
      </c>
      <c r="J80" s="31">
        <f t="shared" si="3"/>
        <v>2</v>
      </c>
      <c r="K80" s="31">
        <f t="shared" si="4"/>
        <v>-63.077443675937559</v>
      </c>
      <c r="L80" s="31"/>
      <c r="M80" s="27"/>
      <c r="N80" s="27"/>
      <c r="O80" s="27"/>
      <c r="P80" s="27"/>
      <c r="Q80" s="27"/>
      <c r="R80" s="27"/>
      <c r="S80" s="27"/>
      <c r="T80" s="27"/>
      <c r="U80" s="27"/>
      <c r="V80" s="27"/>
      <c r="W80" s="27"/>
      <c r="X80" s="27"/>
      <c r="Y80" s="27"/>
      <c r="Z80" s="27"/>
      <c r="AA80" s="27"/>
      <c r="AB80" s="27"/>
      <c r="AC80" s="27"/>
      <c r="AD80" s="27"/>
      <c r="AE80" s="27"/>
      <c r="AF80" s="27"/>
    </row>
    <row r="81" spans="1:32" s="28" customFormat="1">
      <c r="A81" s="31"/>
      <c r="B81" s="87">
        <v>21</v>
      </c>
      <c r="C81" s="87"/>
      <c r="D81" s="31">
        <f t="shared" si="5"/>
        <v>2.1</v>
      </c>
      <c r="E81" s="31">
        <f t="shared" si="1"/>
        <v>-2.1228077760073489</v>
      </c>
      <c r="F81" s="31"/>
      <c r="G81" s="31"/>
      <c r="H81" s="31">
        <v>21</v>
      </c>
      <c r="I81" s="87">
        <f t="shared" si="2"/>
        <v>7.9</v>
      </c>
      <c r="J81" s="31">
        <f t="shared" si="3"/>
        <v>2.1</v>
      </c>
      <c r="K81" s="31">
        <f t="shared" si="4"/>
        <v>-63.501229657336324</v>
      </c>
      <c r="L81" s="31"/>
      <c r="M81" s="27"/>
      <c r="N81" s="27"/>
      <c r="O81" s="27"/>
      <c r="P81" s="27"/>
      <c r="Q81" s="27"/>
      <c r="R81" s="27"/>
      <c r="S81" s="27"/>
      <c r="T81" s="27"/>
      <c r="U81" s="27"/>
      <c r="V81" s="27"/>
      <c r="W81" s="27"/>
      <c r="X81" s="27"/>
      <c r="Y81" s="27"/>
      <c r="Z81" s="27"/>
      <c r="AA81" s="27"/>
      <c r="AB81" s="27"/>
      <c r="AC81" s="27"/>
      <c r="AD81" s="27"/>
      <c r="AE81" s="27"/>
      <c r="AF81" s="27"/>
    </row>
    <row r="82" spans="1:32" s="28" customFormat="1">
      <c r="A82" s="31"/>
      <c r="B82" s="87">
        <v>22</v>
      </c>
      <c r="C82" s="87"/>
      <c r="D82" s="31">
        <f t="shared" si="5"/>
        <v>2.2000000000000002</v>
      </c>
      <c r="E82" s="31">
        <f t="shared" si="1"/>
        <v>-2.5268754977730907</v>
      </c>
      <c r="F82" s="31"/>
      <c r="G82" s="31"/>
      <c r="H82" s="31">
        <v>22</v>
      </c>
      <c r="I82" s="87">
        <f t="shared" si="2"/>
        <v>7.8</v>
      </c>
      <c r="J82" s="31">
        <f t="shared" si="3"/>
        <v>2.2000000000000002</v>
      </c>
      <c r="K82" s="31">
        <f t="shared" si="4"/>
        <v>-63.905297379102066</v>
      </c>
      <c r="L82" s="31"/>
      <c r="M82" s="27"/>
      <c r="N82" s="27"/>
      <c r="O82" s="27"/>
      <c r="P82" s="27"/>
      <c r="Q82" s="27"/>
      <c r="R82" s="27"/>
      <c r="S82" s="27"/>
      <c r="T82" s="27"/>
      <c r="U82" s="27"/>
      <c r="V82" s="27"/>
      <c r="W82" s="27"/>
      <c r="X82" s="27"/>
      <c r="Y82" s="27"/>
      <c r="Z82" s="27"/>
      <c r="AA82" s="27"/>
      <c r="AB82" s="27"/>
      <c r="AC82" s="27"/>
      <c r="AD82" s="27"/>
      <c r="AE82" s="27"/>
      <c r="AF82" s="27"/>
    </row>
    <row r="83" spans="1:32" s="28" customFormat="1">
      <c r="A83" s="31"/>
      <c r="B83" s="87">
        <v>23</v>
      </c>
      <c r="C83" s="87"/>
      <c r="D83" s="31">
        <f t="shared" si="5"/>
        <v>2.3000000000000003</v>
      </c>
      <c r="E83" s="31">
        <f t="shared" si="1"/>
        <v>-2.9129786016808197</v>
      </c>
      <c r="F83" s="31"/>
      <c r="G83" s="31"/>
      <c r="H83" s="31">
        <v>23</v>
      </c>
      <c r="I83" s="87">
        <f t="shared" si="2"/>
        <v>7.6999999999999993</v>
      </c>
      <c r="J83" s="31">
        <f t="shared" si="3"/>
        <v>2.3000000000000003</v>
      </c>
      <c r="K83" s="31">
        <f t="shared" si="4"/>
        <v>-64.291400483009795</v>
      </c>
      <c r="L83" s="31"/>
      <c r="M83" s="27"/>
      <c r="N83" s="27"/>
      <c r="O83" s="27"/>
      <c r="P83" s="27"/>
      <c r="Q83" s="27"/>
      <c r="R83" s="27"/>
      <c r="S83" s="27"/>
      <c r="T83" s="27"/>
      <c r="U83" s="27"/>
      <c r="V83" s="27"/>
      <c r="W83" s="27"/>
      <c r="X83" s="27"/>
      <c r="Y83" s="27"/>
      <c r="Z83" s="27"/>
      <c r="AA83" s="27"/>
      <c r="AB83" s="27"/>
      <c r="AC83" s="27"/>
      <c r="AD83" s="27"/>
      <c r="AE83" s="27"/>
      <c r="AF83" s="27"/>
    </row>
    <row r="84" spans="1:32" s="28" customFormat="1">
      <c r="A84" s="31"/>
      <c r="B84" s="87">
        <v>24</v>
      </c>
      <c r="C84" s="87"/>
      <c r="D84" s="31">
        <f t="shared" si="5"/>
        <v>2.4000000000000004</v>
      </c>
      <c r="E84" s="31">
        <f t="shared" si="1"/>
        <v>-3.2826467155610857</v>
      </c>
      <c r="F84" s="31"/>
      <c r="G84" s="31"/>
      <c r="H84" s="31">
        <v>24</v>
      </c>
      <c r="I84" s="87">
        <f t="shared" si="2"/>
        <v>7.6</v>
      </c>
      <c r="J84" s="31">
        <f t="shared" si="3"/>
        <v>2.4000000000000004</v>
      </c>
      <c r="K84" s="31">
        <f t="shared" si="4"/>
        <v>-64.661068596890061</v>
      </c>
      <c r="L84" s="31"/>
      <c r="M84" s="27"/>
      <c r="N84" s="27"/>
      <c r="O84" s="27"/>
      <c r="P84" s="27"/>
      <c r="Q84" s="27"/>
      <c r="R84" s="27"/>
      <c r="S84" s="27"/>
      <c r="T84" s="27"/>
      <c r="U84" s="27"/>
      <c r="V84" s="27"/>
      <c r="W84" s="27"/>
      <c r="X84" s="27"/>
      <c r="Y84" s="27"/>
      <c r="Z84" s="27"/>
      <c r="AA84" s="27"/>
      <c r="AB84" s="27"/>
      <c r="AC84" s="27"/>
      <c r="AD84" s="27"/>
      <c r="AE84" s="27"/>
      <c r="AF84" s="27"/>
    </row>
    <row r="85" spans="1:32" s="28" customFormat="1">
      <c r="A85" s="31"/>
      <c r="B85" s="87">
        <v>25</v>
      </c>
      <c r="C85" s="87"/>
      <c r="D85" s="31">
        <f t="shared" si="5"/>
        <v>2.5</v>
      </c>
      <c r="E85" s="31">
        <f t="shared" si="1"/>
        <v>-3.6372220547697154</v>
      </c>
      <c r="F85" s="31"/>
      <c r="G85" s="31"/>
      <c r="H85" s="31">
        <v>25</v>
      </c>
      <c r="I85" s="87">
        <f t="shared" si="2"/>
        <v>7.5</v>
      </c>
      <c r="J85" s="31">
        <f t="shared" si="3"/>
        <v>2.5</v>
      </c>
      <c r="K85" s="31">
        <f t="shared" si="4"/>
        <v>-65.015643936098684</v>
      </c>
      <c r="L85" s="31"/>
      <c r="M85" s="27"/>
      <c r="N85" s="27"/>
      <c r="O85" s="27"/>
      <c r="P85" s="27"/>
      <c r="Q85" s="27"/>
      <c r="R85" s="27"/>
      <c r="S85" s="27"/>
      <c r="T85" s="27"/>
      <c r="U85" s="27"/>
      <c r="V85" s="27"/>
      <c r="W85" s="27"/>
      <c r="X85" s="27"/>
      <c r="Y85" s="27"/>
      <c r="Z85" s="27"/>
      <c r="AA85" s="27"/>
      <c r="AB85" s="27"/>
      <c r="AC85" s="27"/>
      <c r="AD85" s="27"/>
      <c r="AE85" s="27"/>
      <c r="AF85" s="27"/>
    </row>
    <row r="86" spans="1:32" s="28" customFormat="1">
      <c r="A86" s="31"/>
      <c r="B86" s="87">
        <v>26</v>
      </c>
      <c r="C86" s="87"/>
      <c r="D86" s="31">
        <f t="shared" si="5"/>
        <v>2.6</v>
      </c>
      <c r="E86" s="31">
        <f t="shared" si="1"/>
        <v>-3.9778888407453223</v>
      </c>
      <c r="F86" s="31"/>
      <c r="G86" s="31"/>
      <c r="H86" s="31">
        <v>26</v>
      </c>
      <c r="I86" s="87">
        <f t="shared" si="2"/>
        <v>7.4</v>
      </c>
      <c r="J86" s="31">
        <f t="shared" si="3"/>
        <v>2.6</v>
      </c>
      <c r="K86" s="31">
        <f t="shared" si="4"/>
        <v>-65.356310722074298</v>
      </c>
      <c r="L86" s="31"/>
      <c r="M86" s="27"/>
      <c r="N86" s="27"/>
      <c r="O86" s="27"/>
      <c r="P86" s="27"/>
      <c r="Q86" s="27"/>
      <c r="R86" s="27"/>
      <c r="S86" s="27"/>
      <c r="T86" s="27"/>
      <c r="U86" s="27"/>
      <c r="V86" s="27"/>
      <c r="W86" s="27"/>
      <c r="X86" s="27"/>
      <c r="Y86" s="27"/>
      <c r="Z86" s="27"/>
      <c r="AA86" s="27"/>
      <c r="AB86" s="27"/>
      <c r="AC86" s="27"/>
      <c r="AD86" s="27"/>
      <c r="AE86" s="27"/>
      <c r="AF86" s="27"/>
    </row>
    <row r="87" spans="1:32" s="28" customFormat="1">
      <c r="A87" s="31"/>
      <c r="B87" s="87">
        <v>27</v>
      </c>
      <c r="C87" s="87"/>
      <c r="D87" s="31">
        <f t="shared" si="5"/>
        <v>2.7</v>
      </c>
      <c r="E87" s="31">
        <f t="shared" si="1"/>
        <v>-4.3056971645087074</v>
      </c>
      <c r="F87" s="31"/>
      <c r="G87" s="31"/>
      <c r="H87" s="31">
        <v>27</v>
      </c>
      <c r="I87" s="87">
        <f t="shared" si="2"/>
        <v>7.3</v>
      </c>
      <c r="J87" s="31">
        <f t="shared" si="3"/>
        <v>2.7</v>
      </c>
      <c r="K87" s="31">
        <f t="shared" si="4"/>
        <v>-65.68411904583769</v>
      </c>
      <c r="L87" s="31"/>
      <c r="M87" s="27"/>
      <c r="N87" s="27"/>
      <c r="O87" s="27"/>
      <c r="P87" s="27"/>
      <c r="Q87" s="27"/>
      <c r="R87" s="27"/>
      <c r="S87" s="27"/>
      <c r="T87" s="27"/>
      <c r="U87" s="27"/>
      <c r="V87" s="27"/>
      <c r="W87" s="27"/>
      <c r="X87" s="27"/>
      <c r="Y87" s="27"/>
      <c r="Z87" s="27"/>
      <c r="AA87" s="27"/>
      <c r="AB87" s="27"/>
      <c r="AC87" s="27"/>
      <c r="AD87" s="27"/>
      <c r="AE87" s="27"/>
      <c r="AF87" s="27"/>
    </row>
    <row r="88" spans="1:32" s="28" customFormat="1">
      <c r="A88" s="31"/>
      <c r="B88" s="87">
        <v>28</v>
      </c>
      <c r="C88" s="87"/>
      <c r="D88" s="31">
        <f t="shared" si="5"/>
        <v>2.8000000000000003</v>
      </c>
      <c r="E88" s="31">
        <f t="shared" si="1"/>
        <v>-4.621582508173347</v>
      </c>
      <c r="F88" s="31"/>
      <c r="G88" s="31"/>
      <c r="H88" s="31">
        <v>28</v>
      </c>
      <c r="I88" s="87">
        <f t="shared" si="2"/>
        <v>7.1999999999999993</v>
      </c>
      <c r="J88" s="31">
        <f t="shared" si="3"/>
        <v>2.8000000000000003</v>
      </c>
      <c r="K88" s="31">
        <f t="shared" si="4"/>
        <v>-66.000004389502323</v>
      </c>
      <c r="L88" s="31"/>
      <c r="M88" s="27"/>
      <c r="N88" s="27"/>
      <c r="O88" s="27"/>
      <c r="P88" s="27"/>
      <c r="Q88" s="27"/>
      <c r="R88" s="27"/>
      <c r="S88" s="27"/>
      <c r="T88" s="27"/>
      <c r="U88" s="27"/>
      <c r="V88" s="27"/>
      <c r="W88" s="27"/>
      <c r="X88" s="27"/>
      <c r="Y88" s="27"/>
      <c r="Z88" s="27"/>
      <c r="AA88" s="27"/>
      <c r="AB88" s="27"/>
      <c r="AC88" s="27"/>
      <c r="AD88" s="27"/>
      <c r="AE88" s="27"/>
      <c r="AF88" s="27"/>
    </row>
    <row r="89" spans="1:32" s="28" customFormat="1">
      <c r="A89" s="31"/>
      <c r="B89" s="87">
        <v>29</v>
      </c>
      <c r="C89" s="87"/>
      <c r="D89" s="31">
        <f t="shared" si="5"/>
        <v>2.9000000000000004</v>
      </c>
      <c r="E89" s="31">
        <f t="shared" si="1"/>
        <v>-4.9263818393080854</v>
      </c>
      <c r="F89" s="31"/>
      <c r="G89" s="31"/>
      <c r="H89" s="31">
        <v>29</v>
      </c>
      <c r="I89" s="87">
        <f t="shared" si="2"/>
        <v>7.1</v>
      </c>
      <c r="J89" s="31">
        <f t="shared" si="3"/>
        <v>2.9000000000000004</v>
      </c>
      <c r="K89" s="31">
        <f t="shared" si="4"/>
        <v>-66.304803720637068</v>
      </c>
      <c r="L89" s="31"/>
      <c r="M89" s="27"/>
      <c r="N89" s="27"/>
      <c r="O89" s="27"/>
      <c r="P89" s="27"/>
      <c r="Q89" s="27"/>
      <c r="R89" s="27"/>
      <c r="S89" s="27"/>
      <c r="T89" s="27"/>
      <c r="U89" s="27"/>
      <c r="V89" s="27"/>
      <c r="W89" s="27"/>
      <c r="X89" s="27"/>
      <c r="Y89" s="27"/>
      <c r="Z89" s="27"/>
      <c r="AA89" s="27"/>
      <c r="AB89" s="27"/>
      <c r="AC89" s="27"/>
      <c r="AD89" s="27"/>
      <c r="AE89" s="27"/>
      <c r="AF89" s="27"/>
    </row>
    <row r="90" spans="1:32" s="28" customFormat="1">
      <c r="A90" s="31"/>
      <c r="B90" s="87">
        <v>30</v>
      </c>
      <c r="C90" s="87"/>
      <c r="D90" s="31">
        <f t="shared" si="5"/>
        <v>3</v>
      </c>
      <c r="E90" s="31">
        <f t="shared" si="1"/>
        <v>-5.2208469757222105</v>
      </c>
      <c r="F90" s="31"/>
      <c r="G90" s="31"/>
      <c r="H90" s="31">
        <v>30</v>
      </c>
      <c r="I90" s="87">
        <f t="shared" si="2"/>
        <v>7</v>
      </c>
      <c r="J90" s="31">
        <f t="shared" si="3"/>
        <v>3</v>
      </c>
      <c r="K90" s="31">
        <f t="shared" si="4"/>
        <v>-66.599268857051186</v>
      </c>
      <c r="L90" s="31"/>
      <c r="M90" s="27"/>
      <c r="N90" s="27"/>
      <c r="O90" s="27"/>
      <c r="P90" s="27"/>
      <c r="Q90" s="27"/>
      <c r="R90" s="27"/>
      <c r="S90" s="27"/>
      <c r="T90" s="27"/>
      <c r="U90" s="27"/>
      <c r="V90" s="27"/>
      <c r="W90" s="27"/>
      <c r="X90" s="27"/>
      <c r="Y90" s="27"/>
      <c r="Z90" s="27"/>
      <c r="AA90" s="27"/>
      <c r="AB90" s="27"/>
      <c r="AC90" s="27"/>
      <c r="AD90" s="27"/>
      <c r="AE90" s="27"/>
      <c r="AF90" s="27"/>
    </row>
    <row r="91" spans="1:32" s="28" customFormat="1">
      <c r="A91" s="31"/>
      <c r="B91" s="87">
        <v>31</v>
      </c>
      <c r="C91" s="87"/>
      <c r="D91" s="31">
        <f t="shared" si="5"/>
        <v>3.1</v>
      </c>
      <c r="E91" s="31">
        <f t="shared" si="1"/>
        <v>-5.505655758014413</v>
      </c>
      <c r="F91" s="31"/>
      <c r="G91" s="31"/>
      <c r="H91" s="31">
        <v>31</v>
      </c>
      <c r="I91" s="87">
        <f t="shared" si="2"/>
        <v>6.9</v>
      </c>
      <c r="J91" s="31">
        <f t="shared" si="3"/>
        <v>3.1</v>
      </c>
      <c r="K91" s="31">
        <f t="shared" si="4"/>
        <v>-66.884077639343388</v>
      </c>
      <c r="L91" s="31"/>
      <c r="M91" s="27"/>
      <c r="N91" s="27"/>
      <c r="O91" s="27"/>
      <c r="P91" s="27"/>
      <c r="Q91" s="27"/>
      <c r="R91" s="27"/>
      <c r="S91" s="27"/>
      <c r="T91" s="27"/>
      <c r="U91" s="27"/>
      <c r="V91" s="27"/>
      <c r="W91" s="27"/>
      <c r="X91" s="27"/>
      <c r="Y91" s="27"/>
      <c r="Z91" s="27"/>
      <c r="AA91" s="27"/>
      <c r="AB91" s="27"/>
      <c r="AC91" s="27"/>
      <c r="AD91" s="27"/>
      <c r="AE91" s="27"/>
      <c r="AF91" s="27"/>
    </row>
    <row r="92" spans="1:32" s="28" customFormat="1">
      <c r="A92" s="31"/>
      <c r="B92" s="87">
        <v>32</v>
      </c>
      <c r="C92" s="87"/>
      <c r="D92" s="31">
        <f t="shared" si="5"/>
        <v>3.2</v>
      </c>
      <c r="E92" s="31">
        <f t="shared" si="1"/>
        <v>-5.7814214477270838</v>
      </c>
      <c r="F92" s="31"/>
      <c r="G92" s="31"/>
      <c r="H92" s="31">
        <v>32</v>
      </c>
      <c r="I92" s="87">
        <f t="shared" si="2"/>
        <v>6.8</v>
      </c>
      <c r="J92" s="31">
        <f t="shared" si="3"/>
        <v>3.2</v>
      </c>
      <c r="K92" s="31">
        <f t="shared" si="4"/>
        <v>-67.159843329056059</v>
      </c>
      <c r="L92" s="31"/>
      <c r="M92" s="27"/>
      <c r="N92" s="27"/>
      <c r="O92" s="27"/>
      <c r="P92" s="27"/>
      <c r="Q92" s="27"/>
      <c r="R92" s="27"/>
      <c r="S92" s="27"/>
      <c r="T92" s="27"/>
      <c r="U92" s="27"/>
      <c r="V92" s="27"/>
      <c r="W92" s="27"/>
      <c r="X92" s="27"/>
      <c r="Y92" s="27"/>
      <c r="Z92" s="27"/>
      <c r="AA92" s="27"/>
      <c r="AB92" s="27"/>
      <c r="AC92" s="27"/>
      <c r="AD92" s="27"/>
      <c r="AE92" s="27"/>
      <c r="AF92" s="27"/>
    </row>
    <row r="93" spans="1:32" s="28" customFormat="1">
      <c r="A93" s="31"/>
      <c r="B93" s="87">
        <v>33</v>
      </c>
      <c r="C93" s="87"/>
      <c r="D93" s="31">
        <f t="shared" si="5"/>
        <v>3.3000000000000003</v>
      </c>
      <c r="E93" s="31">
        <f t="shared" si="1"/>
        <v>-6.0487006788867106</v>
      </c>
      <c r="F93" s="31"/>
      <c r="G93" s="31"/>
      <c r="H93" s="31">
        <v>33</v>
      </c>
      <c r="I93" s="87">
        <f t="shared" si="2"/>
        <v>6.6999999999999993</v>
      </c>
      <c r="J93" s="31">
        <f t="shared" si="3"/>
        <v>3.3000000000000003</v>
      </c>
      <c r="K93" s="31">
        <f t="shared" ref="K93:K124" si="6">B$21+(27.55-20*LOG(J93,10)-20*LOG(B$10,10))</f>
        <v>-67.427122560215679</v>
      </c>
      <c r="L93" s="31"/>
      <c r="M93" s="27"/>
      <c r="N93" s="27"/>
      <c r="O93" s="27"/>
      <c r="P93" s="27"/>
      <c r="Q93" s="27"/>
      <c r="R93" s="27"/>
      <c r="S93" s="27"/>
      <c r="T93" s="27"/>
      <c r="U93" s="27"/>
      <c r="V93" s="27"/>
      <c r="W93" s="27"/>
      <c r="X93" s="27"/>
      <c r="Y93" s="27"/>
      <c r="Z93" s="27"/>
      <c r="AA93" s="27"/>
      <c r="AB93" s="27"/>
      <c r="AC93" s="27"/>
      <c r="AD93" s="27"/>
      <c r="AE93" s="27"/>
      <c r="AF93" s="27"/>
    </row>
    <row r="94" spans="1:32" s="28" customFormat="1">
      <c r="A94" s="31"/>
      <c r="B94" s="87">
        <v>34</v>
      </c>
      <c r="C94" s="87"/>
      <c r="D94" s="31">
        <f t="shared" si="5"/>
        <v>3.4000000000000004</v>
      </c>
      <c r="E94" s="31">
        <f t="shared" si="1"/>
        <v>-6.3080002221740656</v>
      </c>
      <c r="F94" s="31"/>
      <c r="G94" s="31"/>
      <c r="H94" s="31">
        <v>34</v>
      </c>
      <c r="I94" s="87">
        <f t="shared" si="2"/>
        <v>6.6</v>
      </c>
      <c r="J94" s="31">
        <f t="shared" si="3"/>
        <v>3.4000000000000004</v>
      </c>
      <c r="K94" s="31">
        <f t="shared" si="6"/>
        <v>-67.686422103503048</v>
      </c>
      <c r="L94" s="31"/>
      <c r="M94" s="27"/>
      <c r="N94" s="27"/>
      <c r="O94" s="27"/>
      <c r="P94" s="27"/>
      <c r="Q94" s="27"/>
      <c r="R94" s="27"/>
      <c r="S94" s="27"/>
      <c r="T94" s="27"/>
      <c r="U94" s="27"/>
      <c r="V94" s="27"/>
      <c r="W94" s="27"/>
      <c r="X94" s="27"/>
      <c r="Y94" s="27"/>
      <c r="Z94" s="27"/>
      <c r="AA94" s="27"/>
      <c r="AB94" s="27"/>
      <c r="AC94" s="27"/>
      <c r="AD94" s="27"/>
      <c r="AE94" s="27"/>
      <c r="AF94" s="27"/>
    </row>
    <row r="95" spans="1:32" s="28" customFormat="1">
      <c r="A95" s="31"/>
      <c r="B95" s="87">
        <v>35</v>
      </c>
      <c r="C95" s="87"/>
      <c r="D95" s="31">
        <f t="shared" si="5"/>
        <v>3.5</v>
      </c>
      <c r="E95" s="31">
        <f t="shared" si="1"/>
        <v>-6.5597827683344718</v>
      </c>
      <c r="F95" s="31"/>
      <c r="G95" s="31"/>
      <c r="H95" s="31">
        <v>35</v>
      </c>
      <c r="I95" s="87">
        <f t="shared" si="2"/>
        <v>6.5</v>
      </c>
      <c r="J95" s="31">
        <f t="shared" si="3"/>
        <v>3.5</v>
      </c>
      <c r="K95" s="31">
        <f t="shared" si="6"/>
        <v>-67.938204649663447</v>
      </c>
      <c r="L95" s="31"/>
      <c r="M95" s="27"/>
      <c r="N95" s="27"/>
      <c r="O95" s="27"/>
      <c r="P95" s="27"/>
      <c r="Q95" s="27"/>
      <c r="R95" s="27"/>
      <c r="S95" s="27"/>
      <c r="T95" s="27"/>
      <c r="U95" s="27"/>
      <c r="V95" s="27"/>
      <c r="W95" s="27"/>
      <c r="X95" s="27"/>
      <c r="Y95" s="27"/>
      <c r="Z95" s="27"/>
      <c r="AA95" s="27"/>
      <c r="AB95" s="27"/>
      <c r="AC95" s="27"/>
      <c r="AD95" s="27"/>
      <c r="AE95" s="27"/>
      <c r="AF95" s="27"/>
    </row>
    <row r="96" spans="1:32" s="28" customFormat="1">
      <c r="A96" s="31"/>
      <c r="B96" s="87">
        <v>36</v>
      </c>
      <c r="C96" s="87"/>
      <c r="D96" s="31">
        <f t="shared" si="5"/>
        <v>3.6</v>
      </c>
      <c r="E96" s="31">
        <f t="shared" si="1"/>
        <v>-6.8044718966747055</v>
      </c>
      <c r="F96" s="31"/>
      <c r="G96" s="31"/>
      <c r="H96" s="31">
        <v>36</v>
      </c>
      <c r="I96" s="87">
        <f t="shared" si="2"/>
        <v>6.4</v>
      </c>
      <c r="J96" s="31">
        <f t="shared" si="3"/>
        <v>3.6</v>
      </c>
      <c r="K96" s="31">
        <f t="shared" si="6"/>
        <v>-68.182893778003688</v>
      </c>
      <c r="L96" s="31"/>
      <c r="M96" s="27"/>
      <c r="N96" s="27"/>
      <c r="O96" s="27"/>
      <c r="P96" s="27"/>
      <c r="Q96" s="27"/>
      <c r="R96" s="27"/>
      <c r="S96" s="27"/>
      <c r="T96" s="27"/>
      <c r="U96" s="27"/>
      <c r="V96" s="27"/>
      <c r="W96" s="27"/>
      <c r="X96" s="27"/>
      <c r="Y96" s="27"/>
      <c r="Z96" s="27"/>
      <c r="AA96" s="27"/>
      <c r="AB96" s="27"/>
      <c r="AC96" s="27"/>
      <c r="AD96" s="27"/>
      <c r="AE96" s="27"/>
      <c r="AF96" s="27"/>
    </row>
    <row r="97" spans="1:32" s="28" customFormat="1">
      <c r="A97" s="31"/>
      <c r="B97" s="87">
        <v>37</v>
      </c>
      <c r="C97" s="87"/>
      <c r="D97" s="31">
        <f t="shared" si="5"/>
        <v>3.7</v>
      </c>
      <c r="E97" s="31">
        <f t="shared" si="1"/>
        <v>-7.0424563626688581</v>
      </c>
      <c r="F97" s="31"/>
      <c r="G97" s="31"/>
      <c r="H97" s="31">
        <v>37</v>
      </c>
      <c r="I97" s="87">
        <f t="shared" si="2"/>
        <v>6.3</v>
      </c>
      <c r="J97" s="31">
        <f t="shared" si="3"/>
        <v>3.7</v>
      </c>
      <c r="K97" s="31">
        <f t="shared" si="6"/>
        <v>-68.420878243997834</v>
      </c>
      <c r="L97" s="31"/>
      <c r="M97" s="27"/>
      <c r="N97" s="27"/>
      <c r="O97" s="27"/>
      <c r="P97" s="27"/>
      <c r="Q97" s="27"/>
      <c r="R97" s="27"/>
      <c r="S97" s="27"/>
      <c r="T97" s="27"/>
      <c r="U97" s="27"/>
      <c r="V97" s="27"/>
      <c r="W97" s="27"/>
      <c r="X97" s="27"/>
      <c r="Y97" s="27"/>
      <c r="Z97" s="27"/>
      <c r="AA97" s="27"/>
      <c r="AB97" s="27"/>
      <c r="AC97" s="27"/>
      <c r="AD97" s="27"/>
      <c r="AE97" s="27"/>
      <c r="AF97" s="27"/>
    </row>
    <row r="98" spans="1:32" s="28" customFormat="1">
      <c r="A98" s="31"/>
      <c r="B98" s="87">
        <v>38</v>
      </c>
      <c r="C98" s="87"/>
      <c r="D98" s="31">
        <f t="shared" si="5"/>
        <v>3.8000000000000003</v>
      </c>
      <c r="E98" s="31">
        <f t="shared" si="1"/>
        <v>-7.2740938136651607</v>
      </c>
      <c r="F98" s="31"/>
      <c r="G98" s="31"/>
      <c r="H98" s="31">
        <v>38</v>
      </c>
      <c r="I98" s="87">
        <f t="shared" si="2"/>
        <v>6.1999999999999993</v>
      </c>
      <c r="J98" s="31">
        <f t="shared" si="3"/>
        <v>3.8000000000000003</v>
      </c>
      <c r="K98" s="31">
        <f t="shared" si="6"/>
        <v>-68.652515694994136</v>
      </c>
      <c r="L98" s="31"/>
      <c r="M98" s="27"/>
      <c r="N98" s="27"/>
      <c r="O98" s="27"/>
      <c r="P98" s="27"/>
      <c r="Q98" s="27"/>
      <c r="R98" s="27"/>
      <c r="S98" s="27"/>
      <c r="T98" s="27"/>
      <c r="U98" s="27"/>
      <c r="V98" s="27"/>
      <c r="W98" s="27"/>
      <c r="X98" s="27"/>
      <c r="Y98" s="27"/>
      <c r="Z98" s="27"/>
      <c r="AA98" s="27"/>
      <c r="AB98" s="27"/>
      <c r="AC98" s="27"/>
      <c r="AD98" s="27"/>
      <c r="AE98" s="27"/>
      <c r="AF98" s="27"/>
    </row>
    <row r="99" spans="1:32" s="28" customFormat="1">
      <c r="A99" s="31"/>
      <c r="B99" s="87">
        <v>39</v>
      </c>
      <c r="C99" s="87"/>
      <c r="D99" s="31">
        <f t="shared" si="5"/>
        <v>3.9000000000000004</v>
      </c>
      <c r="E99" s="31">
        <f t="shared" si="1"/>
        <v>-7.4997140218589493</v>
      </c>
      <c r="F99" s="31"/>
      <c r="G99" s="31"/>
      <c r="H99" s="31">
        <v>39</v>
      </c>
      <c r="I99" s="87">
        <f t="shared" si="2"/>
        <v>6.1</v>
      </c>
      <c r="J99" s="31">
        <f t="shared" si="3"/>
        <v>3.9000000000000004</v>
      </c>
      <c r="K99" s="31">
        <f t="shared" si="6"/>
        <v>-68.878135903187925</v>
      </c>
      <c r="L99" s="31"/>
      <c r="M99" s="27"/>
      <c r="N99" s="27"/>
      <c r="O99" s="27"/>
      <c r="P99" s="27"/>
      <c r="Q99" s="27"/>
      <c r="R99" s="27"/>
      <c r="S99" s="27"/>
      <c r="T99" s="27"/>
      <c r="U99" s="27"/>
      <c r="V99" s="27"/>
      <c r="W99" s="27"/>
      <c r="X99" s="27"/>
      <c r="Y99" s="27"/>
      <c r="Z99" s="27"/>
      <c r="AA99" s="27"/>
      <c r="AB99" s="27"/>
      <c r="AC99" s="27"/>
      <c r="AD99" s="27"/>
      <c r="AE99" s="27"/>
      <c r="AF99" s="27"/>
    </row>
    <row r="100" spans="1:32" s="28" customFormat="1">
      <c r="A100" s="31"/>
      <c r="B100" s="87">
        <v>40</v>
      </c>
      <c r="C100" s="87"/>
      <c r="D100" s="31">
        <f t="shared" si="5"/>
        <v>4</v>
      </c>
      <c r="E100" s="31">
        <f t="shared" si="1"/>
        <v>-7.7196217078882086</v>
      </c>
      <c r="F100" s="31"/>
      <c r="G100" s="31"/>
      <c r="H100" s="31">
        <v>40</v>
      </c>
      <c r="I100" s="87">
        <f t="shared" si="2"/>
        <v>6</v>
      </c>
      <c r="J100" s="31">
        <f t="shared" si="3"/>
        <v>4</v>
      </c>
      <c r="K100" s="31">
        <f t="shared" si="6"/>
        <v>-69.098043589217184</v>
      </c>
      <c r="L100" s="31"/>
      <c r="M100" s="27"/>
      <c r="N100" s="27"/>
      <c r="O100" s="27"/>
      <c r="P100" s="27"/>
      <c r="Q100" s="27"/>
      <c r="R100" s="27"/>
      <c r="S100" s="27"/>
      <c r="T100" s="27"/>
      <c r="U100" s="27"/>
      <c r="V100" s="27"/>
      <c r="W100" s="27"/>
      <c r="X100" s="27"/>
      <c r="Y100" s="27"/>
      <c r="Z100" s="27"/>
      <c r="AA100" s="27"/>
      <c r="AB100" s="27"/>
      <c r="AC100" s="27"/>
      <c r="AD100" s="27"/>
      <c r="AE100" s="27"/>
      <c r="AF100" s="27"/>
    </row>
    <row r="101" spans="1:32" s="28" customFormat="1">
      <c r="A101" s="31"/>
      <c r="B101" s="87">
        <v>41</v>
      </c>
      <c r="C101" s="87"/>
      <c r="D101" s="31">
        <f t="shared" si="5"/>
        <v>4.1000000000000005</v>
      </c>
      <c r="E101" s="31">
        <f t="shared" si="1"/>
        <v>-7.9340990157236746</v>
      </c>
      <c r="F101" s="31"/>
      <c r="G101" s="31"/>
      <c r="H101" s="31">
        <v>41</v>
      </c>
      <c r="I101" s="87">
        <f t="shared" si="2"/>
        <v>5.8999999999999995</v>
      </c>
      <c r="J101" s="31">
        <f t="shared" si="3"/>
        <v>4.1000000000000005</v>
      </c>
      <c r="K101" s="31">
        <f t="shared" si="6"/>
        <v>-69.31252089705265</v>
      </c>
      <c r="L101" s="31"/>
      <c r="M101" s="27"/>
      <c r="N101" s="27"/>
      <c r="O101" s="27"/>
      <c r="P101" s="27"/>
      <c r="Q101" s="27"/>
      <c r="R101" s="27"/>
      <c r="S101" s="27"/>
      <c r="T101" s="27"/>
      <c r="U101" s="27"/>
      <c r="V101" s="27"/>
      <c r="W101" s="27"/>
      <c r="X101" s="27"/>
      <c r="Y101" s="27"/>
      <c r="Z101" s="27"/>
      <c r="AA101" s="27"/>
      <c r="AB101" s="27"/>
      <c r="AC101" s="27"/>
      <c r="AD101" s="27"/>
      <c r="AE101" s="27"/>
      <c r="AF101" s="27"/>
    </row>
    <row r="102" spans="1:32" s="28" customFormat="1">
      <c r="A102" s="31"/>
      <c r="B102" s="87">
        <v>42</v>
      </c>
      <c r="C102" s="87"/>
      <c r="D102" s="31">
        <f t="shared" si="5"/>
        <v>4.2</v>
      </c>
      <c r="E102" s="31">
        <f t="shared" si="1"/>
        <v>-8.143407689286974</v>
      </c>
      <c r="F102" s="31"/>
      <c r="G102" s="31"/>
      <c r="H102" s="31">
        <v>42</v>
      </c>
      <c r="I102" s="87">
        <f t="shared" si="2"/>
        <v>5.8</v>
      </c>
      <c r="J102" s="31">
        <f t="shared" si="3"/>
        <v>4.2</v>
      </c>
      <c r="K102" s="31">
        <f t="shared" si="6"/>
        <v>-69.521829570615949</v>
      </c>
      <c r="L102" s="31"/>
      <c r="M102" s="27"/>
      <c r="N102" s="27"/>
      <c r="O102" s="27"/>
      <c r="P102" s="27"/>
      <c r="Q102" s="27"/>
      <c r="R102" s="27"/>
      <c r="S102" s="27"/>
      <c r="T102" s="27"/>
      <c r="U102" s="27"/>
      <c r="V102" s="27"/>
      <c r="W102" s="27"/>
      <c r="X102" s="27"/>
      <c r="Y102" s="27"/>
      <c r="Z102" s="27"/>
      <c r="AA102" s="27"/>
      <c r="AB102" s="27"/>
      <c r="AC102" s="27"/>
      <c r="AD102" s="27"/>
      <c r="AE102" s="27"/>
      <c r="AF102" s="27"/>
    </row>
    <row r="103" spans="1:32" s="28" customFormat="1">
      <c r="A103" s="31"/>
      <c r="B103" s="87">
        <v>43</v>
      </c>
      <c r="C103" s="87"/>
      <c r="D103" s="31">
        <f t="shared" si="5"/>
        <v>4.3</v>
      </c>
      <c r="E103" s="31">
        <f t="shared" si="1"/>
        <v>-8.347790992920693</v>
      </c>
      <c r="F103" s="31"/>
      <c r="G103" s="31"/>
      <c r="H103" s="31">
        <v>43</v>
      </c>
      <c r="I103" s="87">
        <f t="shared" si="2"/>
        <v>5.7</v>
      </c>
      <c r="J103" s="31">
        <f t="shared" si="3"/>
        <v>4.3</v>
      </c>
      <c r="K103" s="31">
        <f t="shared" si="6"/>
        <v>-69.726212874249669</v>
      </c>
      <c r="L103" s="31"/>
      <c r="M103" s="27"/>
      <c r="N103" s="27"/>
      <c r="O103" s="27"/>
      <c r="P103" s="27"/>
      <c r="Q103" s="27"/>
      <c r="R103" s="27"/>
      <c r="S103" s="27"/>
      <c r="T103" s="27"/>
      <c r="U103" s="27"/>
      <c r="V103" s="27"/>
      <c r="W103" s="27"/>
      <c r="X103" s="27"/>
      <c r="Y103" s="27"/>
      <c r="Z103" s="27"/>
      <c r="AA103" s="27"/>
      <c r="AB103" s="27"/>
      <c r="AC103" s="27"/>
      <c r="AD103" s="27"/>
      <c r="AE103" s="27"/>
      <c r="AF103" s="27"/>
    </row>
    <row r="104" spans="1:32" s="28" customFormat="1">
      <c r="A104" s="31"/>
      <c r="B104" s="87">
        <v>44</v>
      </c>
      <c r="C104" s="87"/>
      <c r="D104" s="31">
        <f t="shared" si="5"/>
        <v>4.4000000000000004</v>
      </c>
      <c r="E104" s="31">
        <f t="shared" si="1"/>
        <v>-8.5474754110527087</v>
      </c>
      <c r="F104" s="31"/>
      <c r="G104" s="31"/>
      <c r="H104" s="31">
        <v>44</v>
      </c>
      <c r="I104" s="87">
        <f t="shared" si="2"/>
        <v>5.6</v>
      </c>
      <c r="J104" s="31">
        <f t="shared" si="3"/>
        <v>4.4000000000000004</v>
      </c>
      <c r="K104" s="31">
        <f t="shared" si="6"/>
        <v>-69.925897292381677</v>
      </c>
      <c r="L104" s="31"/>
      <c r="M104" s="27"/>
      <c r="N104" s="27"/>
      <c r="O104" s="27"/>
      <c r="P104" s="27"/>
      <c r="Q104" s="27"/>
      <c r="R104" s="27"/>
      <c r="S104" s="27"/>
      <c r="T104" s="27"/>
      <c r="U104" s="27"/>
      <c r="V104" s="27"/>
      <c r="W104" s="27"/>
      <c r="X104" s="27"/>
      <c r="Y104" s="27"/>
      <c r="Z104" s="27"/>
      <c r="AA104" s="27"/>
      <c r="AB104" s="27"/>
      <c r="AC104" s="27"/>
      <c r="AD104" s="27"/>
      <c r="AE104" s="27"/>
      <c r="AF104" s="27"/>
    </row>
    <row r="105" spans="1:32" s="28" customFormat="1">
      <c r="A105" s="31"/>
      <c r="B105" s="87">
        <v>45</v>
      </c>
      <c r="C105" s="87"/>
      <c r="D105" s="31">
        <f t="shared" si="5"/>
        <v>4.5</v>
      </c>
      <c r="E105" s="31">
        <f t="shared" si="1"/>
        <v>-8.7426721568358374</v>
      </c>
      <c r="F105" s="31"/>
      <c r="G105" s="31"/>
      <c r="H105" s="31">
        <v>45</v>
      </c>
      <c r="I105" s="87">
        <f t="shared" si="2"/>
        <v>5.5</v>
      </c>
      <c r="J105" s="31">
        <f t="shared" si="3"/>
        <v>4.5</v>
      </c>
      <c r="K105" s="31">
        <f t="shared" si="6"/>
        <v>-70.121094038164813</v>
      </c>
      <c r="L105" s="31"/>
      <c r="M105" s="27"/>
      <c r="N105" s="27"/>
      <c r="O105" s="27"/>
      <c r="P105" s="27"/>
      <c r="Q105" s="27"/>
      <c r="R105" s="27"/>
      <c r="S105" s="27"/>
      <c r="T105" s="27"/>
      <c r="U105" s="27"/>
      <c r="V105" s="27"/>
      <c r="W105" s="27"/>
      <c r="X105" s="27"/>
      <c r="Y105" s="27"/>
      <c r="Z105" s="27"/>
      <c r="AA105" s="27"/>
      <c r="AB105" s="27"/>
      <c r="AC105" s="27"/>
      <c r="AD105" s="27"/>
      <c r="AE105" s="27"/>
      <c r="AF105" s="27"/>
    </row>
    <row r="106" spans="1:32" s="28" customFormat="1">
      <c r="A106" s="31"/>
      <c r="B106" s="87">
        <v>46</v>
      </c>
      <c r="C106" s="87"/>
      <c r="D106" s="31">
        <f t="shared" si="5"/>
        <v>4.6000000000000005</v>
      </c>
      <c r="E106" s="31">
        <f t="shared" si="1"/>
        <v>-8.9335785149604447</v>
      </c>
      <c r="F106" s="31"/>
      <c r="G106" s="31"/>
      <c r="H106" s="31">
        <v>46</v>
      </c>
      <c r="I106" s="87">
        <f t="shared" si="2"/>
        <v>5.3999999999999995</v>
      </c>
      <c r="J106" s="31">
        <f t="shared" si="3"/>
        <v>4.6000000000000005</v>
      </c>
      <c r="K106" s="31">
        <f t="shared" si="6"/>
        <v>-70.31200039628942</v>
      </c>
      <c r="L106" s="31"/>
      <c r="M106" s="27"/>
      <c r="N106" s="27"/>
      <c r="O106" s="27"/>
      <c r="P106" s="27"/>
      <c r="Q106" s="27"/>
      <c r="R106" s="27"/>
      <c r="S106" s="27"/>
      <c r="T106" s="27"/>
      <c r="U106" s="27"/>
      <c r="V106" s="27">
        <v>1</v>
      </c>
      <c r="W106" s="27"/>
      <c r="X106" s="27"/>
      <c r="Y106" s="27"/>
      <c r="Z106" s="27"/>
      <c r="AA106" s="27"/>
      <c r="AB106" s="27"/>
      <c r="AC106" s="27"/>
      <c r="AD106" s="27"/>
      <c r="AE106" s="27"/>
      <c r="AF106" s="27"/>
    </row>
    <row r="107" spans="1:32" s="28" customFormat="1">
      <c r="A107" s="31"/>
      <c r="B107" s="87">
        <v>47</v>
      </c>
      <c r="C107" s="87"/>
      <c r="D107" s="31">
        <f t="shared" si="5"/>
        <v>4.7</v>
      </c>
      <c r="E107" s="31">
        <f t="shared" si="1"/>
        <v>-9.1203790400433107</v>
      </c>
      <c r="F107" s="31"/>
      <c r="G107" s="31"/>
      <c r="H107" s="31">
        <v>47</v>
      </c>
      <c r="I107" s="87">
        <f t="shared" si="2"/>
        <v>5.3</v>
      </c>
      <c r="J107" s="31">
        <f t="shared" si="3"/>
        <v>4.7</v>
      </c>
      <c r="K107" s="31">
        <f t="shared" si="6"/>
        <v>-70.498800921372293</v>
      </c>
      <c r="L107" s="31"/>
      <c r="M107" s="27"/>
      <c r="N107" s="27"/>
      <c r="O107" s="27"/>
      <c r="P107" s="27"/>
      <c r="Q107" s="27"/>
      <c r="R107" s="27"/>
      <c r="S107" s="27"/>
      <c r="T107" s="27"/>
      <c r="U107" s="27"/>
      <c r="V107" s="27"/>
      <c r="W107" s="27"/>
      <c r="X107" s="27"/>
      <c r="Y107" s="27"/>
      <c r="Z107" s="27"/>
      <c r="AA107" s="27"/>
      <c r="AB107" s="27"/>
      <c r="AC107" s="27"/>
      <c r="AD107" s="27"/>
      <c r="AE107" s="27"/>
      <c r="AF107" s="27"/>
    </row>
    <row r="108" spans="1:32" s="28" customFormat="1">
      <c r="A108" s="31"/>
      <c r="B108" s="87">
        <v>48</v>
      </c>
      <c r="C108" s="87"/>
      <c r="D108" s="31">
        <f t="shared" si="5"/>
        <v>4.8000000000000007</v>
      </c>
      <c r="E108" s="31">
        <f t="shared" si="1"/>
        <v>-9.3032466288407107</v>
      </c>
      <c r="F108" s="31"/>
      <c r="G108" s="31"/>
      <c r="H108" s="31">
        <v>48</v>
      </c>
      <c r="I108" s="87">
        <f t="shared" si="2"/>
        <v>5.1999999999999993</v>
      </c>
      <c r="J108" s="31">
        <f t="shared" si="3"/>
        <v>4.8000000000000007</v>
      </c>
      <c r="K108" s="31">
        <f t="shared" si="6"/>
        <v>-70.681668510169686</v>
      </c>
      <c r="L108" s="31"/>
      <c r="M108" s="27"/>
      <c r="N108" s="27"/>
      <c r="O108" s="27"/>
      <c r="P108" s="27"/>
      <c r="Q108" s="27"/>
      <c r="R108" s="27"/>
      <c r="S108" s="27"/>
      <c r="T108" s="27"/>
      <c r="U108" s="27"/>
      <c r="V108" s="27"/>
      <c r="W108" s="27"/>
      <c r="X108" s="27"/>
      <c r="Y108" s="27"/>
      <c r="Z108" s="27"/>
      <c r="AA108" s="27"/>
      <c r="AB108" s="27"/>
      <c r="AC108" s="27"/>
      <c r="AD108" s="27"/>
      <c r="AE108" s="27"/>
      <c r="AF108" s="27"/>
    </row>
    <row r="109" spans="1:32" s="28" customFormat="1">
      <c r="A109" s="31"/>
      <c r="B109" s="87">
        <v>49</v>
      </c>
      <c r="C109" s="87"/>
      <c r="D109" s="31">
        <f t="shared" si="5"/>
        <v>4.9000000000000004</v>
      </c>
      <c r="E109" s="31">
        <f t="shared" si="1"/>
        <v>-9.4823434818992354</v>
      </c>
      <c r="F109" s="31"/>
      <c r="G109" s="31"/>
      <c r="H109" s="31">
        <v>49</v>
      </c>
      <c r="I109" s="87">
        <f t="shared" si="2"/>
        <v>5.0999999999999996</v>
      </c>
      <c r="J109" s="31">
        <f t="shared" si="3"/>
        <v>4.9000000000000004</v>
      </c>
      <c r="K109" s="31">
        <f t="shared" si="6"/>
        <v>-70.860765363228211</v>
      </c>
      <c r="L109" s="31"/>
      <c r="M109" s="27"/>
      <c r="N109" s="27"/>
      <c r="O109" s="27"/>
      <c r="P109" s="27"/>
      <c r="Q109" s="27"/>
      <c r="R109" s="27"/>
      <c r="S109" s="27"/>
      <c r="T109" s="27"/>
      <c r="U109" s="27"/>
      <c r="V109" s="27"/>
      <c r="W109" s="27"/>
      <c r="X109" s="27"/>
      <c r="Y109" s="27"/>
      <c r="Z109" s="27"/>
      <c r="AA109" s="27"/>
      <c r="AB109" s="27"/>
      <c r="AC109" s="27"/>
      <c r="AD109" s="27"/>
      <c r="AE109" s="27"/>
      <c r="AF109" s="27"/>
    </row>
    <row r="110" spans="1:32" s="28" customFormat="1">
      <c r="A110" s="31"/>
      <c r="B110" s="87">
        <v>50</v>
      </c>
      <c r="C110" s="87"/>
      <c r="D110" s="31">
        <f t="shared" si="5"/>
        <v>5</v>
      </c>
      <c r="E110" s="31">
        <f t="shared" si="1"/>
        <v>-9.6578219680493333</v>
      </c>
      <c r="F110" s="31"/>
      <c r="G110" s="31"/>
      <c r="H110" s="31">
        <v>50</v>
      </c>
      <c r="I110" s="87">
        <f t="shared" si="2"/>
        <v>5</v>
      </c>
      <c r="J110" s="31">
        <f t="shared" si="3"/>
        <v>5</v>
      </c>
      <c r="K110" s="31">
        <f t="shared" si="6"/>
        <v>-71.036243849378309</v>
      </c>
      <c r="L110" s="31"/>
      <c r="M110" s="27"/>
      <c r="N110" s="27"/>
      <c r="O110" s="27"/>
      <c r="P110" s="27"/>
      <c r="Q110" s="27"/>
      <c r="R110" s="27"/>
      <c r="S110" s="27"/>
      <c r="T110" s="27"/>
      <c r="U110" s="27"/>
      <c r="V110" s="27"/>
      <c r="W110" s="27"/>
      <c r="X110" s="27"/>
      <c r="Y110" s="27"/>
      <c r="Z110" s="27"/>
      <c r="AA110" s="27"/>
      <c r="AB110" s="27"/>
      <c r="AC110" s="27"/>
      <c r="AD110" s="27"/>
      <c r="AE110" s="27"/>
      <c r="AF110" s="27"/>
    </row>
    <row r="111" spans="1:32" s="28" customFormat="1">
      <c r="A111" s="31"/>
      <c r="B111" s="87">
        <v>51</v>
      </c>
      <c r="C111" s="87"/>
      <c r="D111" s="31">
        <f t="shared" si="5"/>
        <v>5.1000000000000005</v>
      </c>
      <c r="E111" s="31">
        <f t="shared" si="1"/>
        <v>-9.8298254032876855</v>
      </c>
      <c r="F111" s="31"/>
      <c r="G111" s="31"/>
      <c r="H111" s="31">
        <v>51</v>
      </c>
      <c r="I111" s="87">
        <f t="shared" si="2"/>
        <v>4.8999999999999995</v>
      </c>
      <c r="J111" s="31">
        <f t="shared" si="3"/>
        <v>5.1000000000000005</v>
      </c>
      <c r="K111" s="31">
        <f t="shared" si="6"/>
        <v>-71.208247284616661</v>
      </c>
      <c r="L111" s="31"/>
      <c r="M111" s="27"/>
      <c r="N111" s="27"/>
      <c r="O111" s="27"/>
      <c r="P111" s="27"/>
      <c r="Q111" s="27"/>
      <c r="R111" s="27"/>
      <c r="S111" s="27"/>
      <c r="T111" s="27"/>
      <c r="U111" s="27"/>
      <c r="V111" s="27"/>
      <c r="W111" s="27"/>
      <c r="X111" s="27"/>
      <c r="Y111" s="27"/>
      <c r="Z111" s="27"/>
      <c r="AA111" s="27"/>
      <c r="AB111" s="27"/>
      <c r="AC111" s="27"/>
      <c r="AD111" s="27"/>
      <c r="AE111" s="27"/>
      <c r="AF111" s="27"/>
    </row>
    <row r="112" spans="1:32" s="28" customFormat="1">
      <c r="A112" s="31"/>
      <c r="B112" s="87">
        <v>52</v>
      </c>
      <c r="C112" s="87"/>
      <c r="D112" s="31">
        <f t="shared" si="5"/>
        <v>5.2</v>
      </c>
      <c r="E112" s="31">
        <f t="shared" si="1"/>
        <v>-9.9984887540249474</v>
      </c>
      <c r="F112" s="31"/>
      <c r="G112" s="31"/>
      <c r="H112" s="31">
        <v>52</v>
      </c>
      <c r="I112" s="87">
        <f t="shared" si="2"/>
        <v>4.8</v>
      </c>
      <c r="J112" s="31">
        <f t="shared" si="3"/>
        <v>5.2</v>
      </c>
      <c r="K112" s="31">
        <f t="shared" si="6"/>
        <v>-71.376910635353923</v>
      </c>
      <c r="L112" s="31"/>
      <c r="M112" s="27"/>
      <c r="N112" s="27"/>
      <c r="O112" s="27"/>
      <c r="P112" s="27"/>
      <c r="Q112" s="27"/>
      <c r="R112" s="27"/>
      <c r="S112" s="27"/>
      <c r="T112" s="27"/>
      <c r="U112" s="27"/>
      <c r="V112" s="27"/>
      <c r="W112" s="27"/>
      <c r="X112" s="27"/>
      <c r="Y112" s="27"/>
      <c r="Z112" s="27"/>
      <c r="AA112" s="27"/>
      <c r="AB112" s="27"/>
      <c r="AC112" s="27"/>
      <c r="AD112" s="27"/>
      <c r="AE112" s="27"/>
      <c r="AF112" s="27"/>
    </row>
    <row r="113" spans="1:32" s="28" customFormat="1">
      <c r="A113" s="31"/>
      <c r="B113" s="87">
        <v>53</v>
      </c>
      <c r="C113" s="87"/>
      <c r="D113" s="31">
        <f t="shared" si="5"/>
        <v>5.3000000000000007</v>
      </c>
      <c r="E113" s="31">
        <f t="shared" si="1"/>
        <v>-10.163939273344745</v>
      </c>
      <c r="F113" s="31"/>
      <c r="G113" s="31"/>
      <c r="H113" s="31">
        <v>53</v>
      </c>
      <c r="I113" s="87">
        <f t="shared" si="2"/>
        <v>4.6999999999999993</v>
      </c>
      <c r="J113" s="31">
        <f t="shared" si="3"/>
        <v>5.3000000000000007</v>
      </c>
      <c r="K113" s="31">
        <f t="shared" si="6"/>
        <v>-71.542361154673728</v>
      </c>
      <c r="L113" s="31"/>
      <c r="M113" s="27"/>
      <c r="N113" s="27"/>
      <c r="O113" s="27"/>
      <c r="P113" s="27"/>
      <c r="Q113" s="27"/>
      <c r="R113" s="27"/>
      <c r="S113" s="27"/>
      <c r="T113" s="27"/>
      <c r="U113" s="27"/>
      <c r="V113" s="27"/>
      <c r="W113" s="27"/>
      <c r="X113" s="27"/>
      <c r="Y113" s="27"/>
      <c r="Z113" s="27"/>
      <c r="AA113" s="27"/>
      <c r="AB113" s="27"/>
      <c r="AC113" s="27"/>
      <c r="AD113" s="27"/>
      <c r="AE113" s="27"/>
      <c r="AF113" s="27"/>
    </row>
    <row r="114" spans="1:32" s="28" customFormat="1">
      <c r="A114" s="31"/>
      <c r="B114" s="87">
        <v>54</v>
      </c>
      <c r="C114" s="87"/>
      <c r="D114" s="31">
        <f t="shared" si="5"/>
        <v>5.4</v>
      </c>
      <c r="E114" s="31">
        <f t="shared" si="1"/>
        <v>-10.326297077788333</v>
      </c>
      <c r="F114" s="31"/>
      <c r="G114" s="31"/>
      <c r="H114" s="31">
        <v>54</v>
      </c>
      <c r="I114" s="87">
        <f t="shared" si="2"/>
        <v>4.5999999999999996</v>
      </c>
      <c r="J114" s="31">
        <f t="shared" si="3"/>
        <v>5.4</v>
      </c>
      <c r="K114" s="31">
        <f t="shared" si="6"/>
        <v>-71.704718959117315</v>
      </c>
      <c r="L114" s="31"/>
      <c r="M114" s="27"/>
      <c r="N114" s="27"/>
      <c r="O114" s="27"/>
      <c r="P114" s="27"/>
      <c r="Q114" s="27"/>
      <c r="R114" s="27"/>
      <c r="S114" s="27"/>
      <c r="T114" s="27"/>
      <c r="U114" s="27"/>
      <c r="V114" s="27"/>
      <c r="W114" s="27"/>
      <c r="X114" s="27"/>
      <c r="Y114" s="27"/>
      <c r="Z114" s="27"/>
      <c r="AA114" s="27"/>
      <c r="AB114" s="27"/>
      <c r="AC114" s="27"/>
      <c r="AD114" s="27"/>
      <c r="AE114" s="27"/>
      <c r="AF114" s="27"/>
    </row>
    <row r="115" spans="1:32">
      <c r="A115" s="31"/>
      <c r="B115" s="87">
        <v>55</v>
      </c>
      <c r="C115" s="87"/>
      <c r="D115" s="31">
        <f t="shared" si="5"/>
        <v>5.5</v>
      </c>
      <c r="E115" s="31">
        <f t="shared" si="1"/>
        <v>-10.485675671213841</v>
      </c>
      <c r="F115" s="31"/>
      <c r="G115" s="31"/>
      <c r="H115" s="31">
        <v>55</v>
      </c>
      <c r="I115" s="87">
        <f t="shared" si="2"/>
        <v>4.5</v>
      </c>
      <c r="J115" s="31">
        <f t="shared" si="3"/>
        <v>5.5</v>
      </c>
      <c r="K115" s="31">
        <f t="shared" si="6"/>
        <v>-71.864097552542816</v>
      </c>
      <c r="L115" s="31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</row>
    <row r="116" spans="1:32">
      <c r="A116" s="31"/>
      <c r="B116" s="87">
        <v>56</v>
      </c>
      <c r="C116" s="87"/>
      <c r="D116" s="31">
        <f t="shared" si="5"/>
        <v>5.6000000000000005</v>
      </c>
      <c r="E116" s="31">
        <f t="shared" si="1"/>
        <v>-10.642182421452972</v>
      </c>
      <c r="F116" s="31"/>
      <c r="G116" s="31"/>
      <c r="H116" s="31">
        <v>56</v>
      </c>
      <c r="I116" s="87">
        <f t="shared" si="2"/>
        <v>4.3999999999999995</v>
      </c>
      <c r="J116" s="31">
        <f t="shared" si="3"/>
        <v>5.6000000000000005</v>
      </c>
      <c r="K116" s="31">
        <f t="shared" si="6"/>
        <v>-72.020604302781948</v>
      </c>
      <c r="L116" s="31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</row>
    <row r="117" spans="1:32">
      <c r="A117" s="31"/>
      <c r="B117" s="87">
        <v>57</v>
      </c>
      <c r="C117" s="87"/>
      <c r="D117" s="31">
        <f t="shared" si="5"/>
        <v>5.7</v>
      </c>
      <c r="E117" s="31">
        <f t="shared" si="1"/>
        <v>-10.795918994778788</v>
      </c>
      <c r="F117" s="31"/>
      <c r="G117" s="31"/>
      <c r="H117" s="31">
        <v>57</v>
      </c>
      <c r="I117" s="87">
        <f t="shared" si="2"/>
        <v>4.3</v>
      </c>
      <c r="J117" s="31">
        <f t="shared" si="3"/>
        <v>5.7</v>
      </c>
      <c r="K117" s="31">
        <f t="shared" si="6"/>
        <v>-72.174340876107763</v>
      </c>
      <c r="L117" s="31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</row>
    <row r="118" spans="1:32">
      <c r="A118" s="31"/>
      <c r="B118" s="87">
        <v>58</v>
      </c>
      <c r="C118" s="87"/>
      <c r="D118" s="31">
        <f t="shared" si="5"/>
        <v>5.8000000000000007</v>
      </c>
      <c r="E118" s="31">
        <f t="shared" si="1"/>
        <v>-10.94698175258771</v>
      </c>
      <c r="F118" s="31"/>
      <c r="G118" s="31"/>
      <c r="H118" s="31">
        <v>58</v>
      </c>
      <c r="I118" s="87">
        <f t="shared" si="2"/>
        <v>4.1999999999999993</v>
      </c>
      <c r="J118" s="31">
        <f t="shared" si="3"/>
        <v>5.8000000000000007</v>
      </c>
      <c r="K118" s="31">
        <f t="shared" si="6"/>
        <v>-72.325403633916693</v>
      </c>
      <c r="L118" s="31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</row>
    <row r="119" spans="1:32">
      <c r="A119" s="31"/>
      <c r="B119" s="87">
        <v>59</v>
      </c>
      <c r="C119" s="87"/>
      <c r="D119" s="31">
        <f t="shared" si="5"/>
        <v>5.9</v>
      </c>
      <c r="E119" s="31">
        <f t="shared" si="1"/>
        <v>-11.095462114171845</v>
      </c>
      <c r="F119" s="31"/>
      <c r="G119" s="31"/>
      <c r="H119" s="31">
        <v>59</v>
      </c>
      <c r="I119" s="87">
        <f t="shared" si="2"/>
        <v>4.0999999999999996</v>
      </c>
      <c r="J119" s="31">
        <f t="shared" si="3"/>
        <v>5.9</v>
      </c>
      <c r="K119" s="31">
        <f t="shared" si="6"/>
        <v>-72.473883995500813</v>
      </c>
      <c r="L119" s="31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</row>
    <row r="120" spans="1:32">
      <c r="A120" s="31"/>
      <c r="B120" s="87">
        <v>60</v>
      </c>
      <c r="C120" s="87"/>
      <c r="D120" s="31">
        <f t="shared" si="5"/>
        <v>6</v>
      </c>
      <c r="E120" s="31">
        <f t="shared" si="1"/>
        <v>-11.241446889001836</v>
      </c>
      <c r="F120" s="31"/>
      <c r="G120" s="31"/>
      <c r="H120" s="31">
        <v>60</v>
      </c>
      <c r="I120" s="87">
        <f t="shared" si="2"/>
        <v>4</v>
      </c>
      <c r="J120" s="31">
        <f t="shared" si="3"/>
        <v>6</v>
      </c>
      <c r="K120" s="31">
        <f t="shared" si="6"/>
        <v>-72.619868770330811</v>
      </c>
      <c r="L120" s="31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</row>
    <row r="121" spans="1:32">
      <c r="A121" s="31"/>
      <c r="B121" s="87">
        <v>61</v>
      </c>
      <c r="C121" s="87"/>
      <c r="D121" s="31">
        <f t="shared" si="5"/>
        <v>6.1000000000000005</v>
      </c>
      <c r="E121" s="31">
        <f t="shared" si="1"/>
        <v>-11.385018581544301</v>
      </c>
      <c r="F121" s="31"/>
      <c r="G121" s="31"/>
      <c r="H121" s="31">
        <v>61</v>
      </c>
      <c r="I121" s="87">
        <f t="shared" si="2"/>
        <v>3.8999999999999995</v>
      </c>
      <c r="J121" s="31">
        <f t="shared" si="3"/>
        <v>6.1000000000000005</v>
      </c>
      <c r="K121" s="31">
        <f t="shared" si="6"/>
        <v>-72.763440462873277</v>
      </c>
      <c r="L121" s="31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</row>
    <row r="122" spans="1:32">
      <c r="A122" s="31"/>
      <c r="B122" s="87">
        <v>62</v>
      </c>
      <c r="C122" s="87"/>
      <c r="D122" s="31">
        <f t="shared" si="5"/>
        <v>6.2</v>
      </c>
      <c r="E122" s="31">
        <f t="shared" si="1"/>
        <v>-11.526255671294038</v>
      </c>
      <c r="F122" s="31"/>
      <c r="G122" s="31"/>
      <c r="H122" s="31">
        <v>62</v>
      </c>
      <c r="I122" s="87">
        <f t="shared" si="2"/>
        <v>3.8</v>
      </c>
      <c r="J122" s="31">
        <f t="shared" si="3"/>
        <v>6.2</v>
      </c>
      <c r="K122" s="31">
        <f t="shared" si="6"/>
        <v>-72.904677552623014</v>
      </c>
      <c r="L122" s="31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</row>
    <row r="123" spans="1:32">
      <c r="A123" s="31"/>
      <c r="B123" s="87">
        <v>63</v>
      </c>
      <c r="C123" s="87"/>
      <c r="D123" s="31">
        <f t="shared" si="5"/>
        <v>6.3000000000000007</v>
      </c>
      <c r="E123" s="31">
        <f t="shared" si="1"/>
        <v>-11.665232870400594</v>
      </c>
      <c r="F123" s="31"/>
      <c r="G123" s="31"/>
      <c r="H123" s="31">
        <v>63</v>
      </c>
      <c r="I123" s="87">
        <f t="shared" si="2"/>
        <v>3.6999999999999993</v>
      </c>
      <c r="J123" s="31">
        <f t="shared" si="3"/>
        <v>6.3000000000000007</v>
      </c>
      <c r="K123" s="31">
        <f t="shared" si="6"/>
        <v>-73.043654751729576</v>
      </c>
      <c r="L123" s="31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</row>
    <row r="124" spans="1:32">
      <c r="A124" s="31"/>
      <c r="B124" s="87">
        <v>64</v>
      </c>
      <c r="C124" s="87"/>
      <c r="D124" s="31">
        <f t="shared" si="5"/>
        <v>6.4</v>
      </c>
      <c r="E124" s="31">
        <f t="shared" si="1"/>
        <v>-11.802021361006709</v>
      </c>
      <c r="F124" s="31"/>
      <c r="G124" s="31"/>
      <c r="H124" s="31">
        <v>64</v>
      </c>
      <c r="I124" s="87">
        <f t="shared" si="2"/>
        <v>3.5999999999999996</v>
      </c>
      <c r="J124" s="31">
        <f t="shared" si="3"/>
        <v>6.4</v>
      </c>
      <c r="K124" s="31">
        <f t="shared" si="6"/>
        <v>-73.180443242335684</v>
      </c>
      <c r="L124" s="31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</row>
    <row r="125" spans="1:32">
      <c r="A125" s="31"/>
      <c r="B125" s="87">
        <v>65</v>
      </c>
      <c r="C125" s="87"/>
      <c r="D125" s="31">
        <f t="shared" si="5"/>
        <v>6.5</v>
      </c>
      <c r="E125" s="31">
        <f t="shared" si="1"/>
        <v>-11.936689014186072</v>
      </c>
      <c r="F125" s="31"/>
      <c r="G125" s="31"/>
      <c r="H125" s="31">
        <v>65</v>
      </c>
      <c r="I125" s="87">
        <f t="shared" ref="I125:I160" si="7">B$9-J125</f>
        <v>3.5</v>
      </c>
      <c r="J125" s="31">
        <f t="shared" si="3"/>
        <v>6.5</v>
      </c>
      <c r="K125" s="31">
        <f t="shared" ref="K125:K156" si="8">B$21+(27.55-20*LOG(J125,10)-20*LOG(B$10,10))</f>
        <v>-73.315110895515048</v>
      </c>
      <c r="L125" s="31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</row>
    <row r="126" spans="1:32">
      <c r="A126" s="31"/>
      <c r="B126" s="87">
        <v>66</v>
      </c>
      <c r="C126" s="87"/>
      <c r="D126" s="31">
        <f t="shared" ref="D126:D160" si="9">B$9/100*B126</f>
        <v>6.6000000000000005</v>
      </c>
      <c r="E126" s="31">
        <f t="shared" ref="E126:E160" si="10">B$8+(27.55-20*LOG(D126,10)-20*LOG(B$10,10))</f>
        <v>-12.069300592166336</v>
      </c>
      <c r="F126" s="31"/>
      <c r="G126" s="31"/>
      <c r="H126" s="31">
        <v>66</v>
      </c>
      <c r="I126" s="87">
        <f t="shared" si="7"/>
        <v>3.3999999999999995</v>
      </c>
      <c r="J126" s="31">
        <f t="shared" ref="J126:J160" si="11">B$9/100*H126</f>
        <v>6.6000000000000005</v>
      </c>
      <c r="K126" s="31">
        <f t="shared" si="8"/>
        <v>-73.447722473495304</v>
      </c>
      <c r="L126" s="31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</row>
    <row r="127" spans="1:32">
      <c r="A127" s="31"/>
      <c r="B127" s="87">
        <v>67</v>
      </c>
      <c r="C127" s="87"/>
      <c r="D127" s="31">
        <f t="shared" si="9"/>
        <v>6.7</v>
      </c>
      <c r="E127" s="31">
        <f t="shared" si="10"/>
        <v>-12.199917935345496</v>
      </c>
      <c r="F127" s="31"/>
      <c r="G127" s="31"/>
      <c r="H127" s="31">
        <v>67</v>
      </c>
      <c r="I127" s="87">
        <f t="shared" si="7"/>
        <v>3.3</v>
      </c>
      <c r="J127" s="31">
        <f t="shared" si="11"/>
        <v>6.7</v>
      </c>
      <c r="K127" s="31">
        <f t="shared" si="8"/>
        <v>-73.578339816674472</v>
      </c>
      <c r="L127" s="31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</row>
    <row r="128" spans="1:32">
      <c r="A128" s="31"/>
      <c r="B128" s="87">
        <v>68</v>
      </c>
      <c r="C128" s="87"/>
      <c r="D128" s="31">
        <f t="shared" si="9"/>
        <v>6.8000000000000007</v>
      </c>
      <c r="E128" s="31">
        <f t="shared" si="10"/>
        <v>-12.328600135453684</v>
      </c>
      <c r="F128" s="31"/>
      <c r="G128" s="31"/>
      <c r="H128" s="31">
        <v>68</v>
      </c>
      <c r="I128" s="87">
        <f t="shared" si="7"/>
        <v>3.1999999999999993</v>
      </c>
      <c r="J128" s="31">
        <f t="shared" si="11"/>
        <v>6.8000000000000007</v>
      </c>
      <c r="K128" s="31">
        <f t="shared" si="8"/>
        <v>-73.707022016782659</v>
      </c>
      <c r="L128" s="31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</row>
    <row r="129" spans="1:32">
      <c r="A129" s="31"/>
      <c r="B129" s="87">
        <v>69</v>
      </c>
      <c r="C129" s="87"/>
      <c r="D129" s="31">
        <f t="shared" si="9"/>
        <v>6.9</v>
      </c>
      <c r="E129" s="31">
        <f t="shared" si="10"/>
        <v>-12.455403696074072</v>
      </c>
      <c r="F129" s="31"/>
      <c r="G129" s="31"/>
      <c r="H129" s="31">
        <v>69</v>
      </c>
      <c r="I129" s="87">
        <f t="shared" si="7"/>
        <v>3.0999999999999996</v>
      </c>
      <c r="J129" s="31">
        <f t="shared" si="11"/>
        <v>6.9</v>
      </c>
      <c r="K129" s="31">
        <f t="shared" si="8"/>
        <v>-73.833825577403047</v>
      </c>
      <c r="L129" s="31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</row>
    <row r="130" spans="1:32">
      <c r="A130" s="31"/>
      <c r="B130" s="87">
        <v>70</v>
      </c>
      <c r="C130" s="87"/>
      <c r="D130" s="31">
        <f t="shared" si="9"/>
        <v>7</v>
      </c>
      <c r="E130" s="31">
        <f t="shared" si="10"/>
        <v>-12.580382681614097</v>
      </c>
      <c r="F130" s="31"/>
      <c r="G130" s="31"/>
      <c r="H130" s="31">
        <v>70</v>
      </c>
      <c r="I130" s="87">
        <f t="shared" si="7"/>
        <v>3</v>
      </c>
      <c r="J130" s="31">
        <f t="shared" si="11"/>
        <v>7</v>
      </c>
      <c r="K130" s="31">
        <f t="shared" si="8"/>
        <v>-73.958804562943072</v>
      </c>
      <c r="L130" s="31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</row>
    <row r="131" spans="1:32">
      <c r="A131" s="31"/>
      <c r="B131" s="87">
        <v>71</v>
      </c>
      <c r="C131" s="87"/>
      <c r="D131" s="31">
        <f t="shared" si="9"/>
        <v>7.1000000000000005</v>
      </c>
      <c r="E131" s="31">
        <f t="shared" si="10"/>
        <v>-12.703588855710464</v>
      </c>
      <c r="F131" s="31"/>
      <c r="G131" s="31"/>
      <c r="H131" s="31">
        <v>71</v>
      </c>
      <c r="I131" s="87">
        <f t="shared" si="7"/>
        <v>2.8999999999999995</v>
      </c>
      <c r="J131" s="31">
        <f t="shared" si="11"/>
        <v>7.1000000000000005</v>
      </c>
      <c r="K131" s="31">
        <f t="shared" si="8"/>
        <v>-74.08201073703944</v>
      </c>
      <c r="L131" s="31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</row>
    <row r="132" spans="1:32">
      <c r="A132" s="31"/>
      <c r="B132" s="87">
        <v>72</v>
      </c>
      <c r="C132" s="87"/>
      <c r="D132" s="31">
        <f t="shared" si="9"/>
        <v>7.2</v>
      </c>
      <c r="E132" s="31">
        <f t="shared" si="10"/>
        <v>-12.825071809954331</v>
      </c>
      <c r="F132" s="31"/>
      <c r="G132" s="31"/>
      <c r="H132" s="31">
        <v>72</v>
      </c>
      <c r="I132" s="87">
        <f t="shared" si="7"/>
        <v>2.8</v>
      </c>
      <c r="J132" s="31">
        <f t="shared" si="11"/>
        <v>7.2</v>
      </c>
      <c r="K132" s="31">
        <f t="shared" si="8"/>
        <v>-74.203493691283313</v>
      </c>
      <c r="L132" s="31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</row>
    <row r="133" spans="1:32">
      <c r="A133" s="31"/>
      <c r="B133" s="87">
        <v>73</v>
      </c>
      <c r="C133" s="87"/>
      <c r="D133" s="31">
        <f t="shared" si="9"/>
        <v>7.3000000000000007</v>
      </c>
      <c r="E133" s="31">
        <f t="shared" si="10"/>
        <v>-12.94487908373808</v>
      </c>
      <c r="F133" s="31"/>
      <c r="G133" s="31"/>
      <c r="H133" s="31">
        <v>73</v>
      </c>
      <c r="I133" s="87">
        <f t="shared" si="7"/>
        <v>2.6999999999999993</v>
      </c>
      <c r="J133" s="31">
        <f t="shared" si="11"/>
        <v>7.3000000000000007</v>
      </c>
      <c r="K133" s="31">
        <f t="shared" si="8"/>
        <v>-74.323300965067062</v>
      </c>
      <c r="L133" s="31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</row>
    <row r="134" spans="1:32">
      <c r="A134" s="31"/>
      <c r="B134" s="87">
        <v>74</v>
      </c>
      <c r="C134" s="87"/>
      <c r="D134" s="31">
        <f t="shared" si="9"/>
        <v>7.4</v>
      </c>
      <c r="E134" s="31">
        <f t="shared" si="10"/>
        <v>-13.063056275948483</v>
      </c>
      <c r="F134" s="31"/>
      <c r="G134" s="31"/>
      <c r="H134" s="31">
        <v>74</v>
      </c>
      <c r="I134" s="87">
        <f t="shared" si="7"/>
        <v>2.5999999999999996</v>
      </c>
      <c r="J134" s="31">
        <f t="shared" si="11"/>
        <v>7.4</v>
      </c>
      <c r="K134" s="31">
        <f t="shared" si="8"/>
        <v>-74.441478157277459</v>
      </c>
      <c r="L134" s="31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</row>
    <row r="135" spans="1:32">
      <c r="A135" s="31"/>
      <c r="B135" s="87">
        <v>75</v>
      </c>
      <c r="C135" s="87"/>
      <c r="D135" s="31">
        <f t="shared" si="9"/>
        <v>7.5</v>
      </c>
      <c r="E135" s="31">
        <f t="shared" si="10"/>
        <v>-13.17964714916296</v>
      </c>
      <c r="F135" s="31"/>
      <c r="G135" s="31"/>
      <c r="H135" s="31">
        <v>75</v>
      </c>
      <c r="I135" s="87">
        <f t="shared" si="7"/>
        <v>2.5</v>
      </c>
      <c r="J135" s="31">
        <f t="shared" si="11"/>
        <v>7.5</v>
      </c>
      <c r="K135" s="31">
        <f t="shared" si="8"/>
        <v>-74.558069030491936</v>
      </c>
      <c r="L135" s="31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</row>
    <row r="136" spans="1:32">
      <c r="A136" s="31"/>
      <c r="B136" s="87">
        <v>76</v>
      </c>
      <c r="C136" s="87"/>
      <c r="D136" s="31">
        <f t="shared" si="9"/>
        <v>7.6000000000000005</v>
      </c>
      <c r="E136" s="31">
        <f t="shared" si="10"/>
        <v>-13.294693726944786</v>
      </c>
      <c r="F136" s="31"/>
      <c r="G136" s="31"/>
      <c r="H136" s="31">
        <v>76</v>
      </c>
      <c r="I136" s="87">
        <f t="shared" si="7"/>
        <v>2.3999999999999995</v>
      </c>
      <c r="J136" s="31">
        <f t="shared" si="11"/>
        <v>7.6000000000000005</v>
      </c>
      <c r="K136" s="31">
        <f t="shared" si="8"/>
        <v>-74.673115608273761</v>
      </c>
      <c r="L136" s="31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</row>
    <row r="137" spans="1:32">
      <c r="A137" s="31"/>
      <c r="B137" s="87">
        <v>77</v>
      </c>
      <c r="C137" s="87"/>
      <c r="D137" s="31">
        <f t="shared" si="9"/>
        <v>7.7</v>
      </c>
      <c r="E137" s="31">
        <f t="shared" si="10"/>
        <v>-13.408236384778604</v>
      </c>
      <c r="F137" s="31"/>
      <c r="G137" s="31"/>
      <c r="H137" s="31">
        <v>77</v>
      </c>
      <c r="I137" s="87">
        <f t="shared" si="7"/>
        <v>2.2999999999999998</v>
      </c>
      <c r="J137" s="31">
        <f t="shared" si="11"/>
        <v>7.7</v>
      </c>
      <c r="K137" s="31">
        <f t="shared" si="8"/>
        <v>-74.78665826610758</v>
      </c>
      <c r="L137" s="31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  <c r="AE137" s="10"/>
      <c r="AF137" s="10"/>
    </row>
    <row r="138" spans="1:32">
      <c r="A138" s="31"/>
      <c r="B138" s="87">
        <v>78</v>
      </c>
      <c r="C138" s="87"/>
      <c r="D138" s="31">
        <f t="shared" si="9"/>
        <v>7.8000000000000007</v>
      </c>
      <c r="E138" s="31">
        <f t="shared" si="10"/>
        <v>-13.520313935138574</v>
      </c>
      <c r="F138" s="31"/>
      <c r="G138" s="31"/>
      <c r="H138" s="31">
        <v>78</v>
      </c>
      <c r="I138" s="87">
        <f t="shared" si="7"/>
        <v>2.1999999999999993</v>
      </c>
      <c r="J138" s="31">
        <f t="shared" si="11"/>
        <v>7.8000000000000007</v>
      </c>
      <c r="K138" s="31">
        <f t="shared" si="8"/>
        <v>-74.89873581646755</v>
      </c>
      <c r="L138" s="31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  <c r="AE138" s="10"/>
      <c r="AF138" s="10"/>
    </row>
    <row r="139" spans="1:32">
      <c r="A139" s="31"/>
      <c r="B139" s="87">
        <v>79</v>
      </c>
      <c r="C139" s="87"/>
      <c r="D139" s="31">
        <f t="shared" si="9"/>
        <v>7.9</v>
      </c>
      <c r="E139" s="31">
        <f t="shared" si="10"/>
        <v>-13.630963707137795</v>
      </c>
      <c r="F139" s="31"/>
      <c r="G139" s="31"/>
      <c r="H139" s="31">
        <v>79</v>
      </c>
      <c r="I139" s="87">
        <f t="shared" si="7"/>
        <v>2.0999999999999996</v>
      </c>
      <c r="J139" s="31">
        <f t="shared" si="11"/>
        <v>7.9</v>
      </c>
      <c r="K139" s="31">
        <f t="shared" si="8"/>
        <v>-75.00938558846677</v>
      </c>
      <c r="L139" s="31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  <c r="AE139" s="10"/>
      <c r="AF139" s="10"/>
    </row>
    <row r="140" spans="1:32">
      <c r="A140" s="31"/>
      <c r="B140" s="87">
        <v>80</v>
      </c>
      <c r="C140" s="87"/>
      <c r="D140" s="31">
        <f t="shared" si="9"/>
        <v>8</v>
      </c>
      <c r="E140" s="31">
        <f t="shared" si="10"/>
        <v>-13.740221621167834</v>
      </c>
      <c r="F140" s="31"/>
      <c r="G140" s="31"/>
      <c r="H140" s="31">
        <v>80</v>
      </c>
      <c r="I140" s="87">
        <f t="shared" si="7"/>
        <v>2</v>
      </c>
      <c r="J140" s="31">
        <f t="shared" si="11"/>
        <v>8</v>
      </c>
      <c r="K140" s="31">
        <f t="shared" si="8"/>
        <v>-75.118643502496809</v>
      </c>
      <c r="L140" s="31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  <c r="AE140" s="10"/>
      <c r="AF140" s="10"/>
    </row>
    <row r="141" spans="1:32">
      <c r="A141" s="31"/>
      <c r="B141" s="87">
        <v>81</v>
      </c>
      <c r="C141" s="87"/>
      <c r="D141" s="31">
        <f t="shared" si="9"/>
        <v>8.1</v>
      </c>
      <c r="E141" s="31">
        <f t="shared" si="10"/>
        <v>-13.848122258901952</v>
      </c>
      <c r="F141" s="31"/>
      <c r="G141" s="31"/>
      <c r="H141" s="31">
        <v>81</v>
      </c>
      <c r="I141" s="87">
        <f t="shared" si="7"/>
        <v>1.9000000000000004</v>
      </c>
      <c r="J141" s="31">
        <f t="shared" si="11"/>
        <v>8.1</v>
      </c>
      <c r="K141" s="31">
        <f t="shared" si="8"/>
        <v>-75.226544140230928</v>
      </c>
      <c r="L141" s="31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0"/>
      <c r="AE141" s="10"/>
      <c r="AF141" s="10"/>
    </row>
    <row r="142" spans="1:32">
      <c r="A142" s="31"/>
      <c r="B142" s="87">
        <v>82</v>
      </c>
      <c r="C142" s="87"/>
      <c r="D142" s="31">
        <f t="shared" si="9"/>
        <v>8.2000000000000011</v>
      </c>
      <c r="E142" s="31">
        <f t="shared" si="10"/>
        <v>-13.954698929003293</v>
      </c>
      <c r="F142" s="31"/>
      <c r="G142" s="31"/>
      <c r="H142" s="31">
        <v>82</v>
      </c>
      <c r="I142" s="87">
        <f t="shared" si="7"/>
        <v>1.7999999999999989</v>
      </c>
      <c r="J142" s="31">
        <f t="shared" si="11"/>
        <v>8.2000000000000011</v>
      </c>
      <c r="K142" s="31">
        <f t="shared" si="8"/>
        <v>-75.333120810332275</v>
      </c>
      <c r="L142" s="31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  <c r="AE142" s="10"/>
      <c r="AF142" s="10"/>
    </row>
    <row r="143" spans="1:32">
      <c r="A143" s="31"/>
      <c r="B143" s="87">
        <v>83</v>
      </c>
      <c r="C143" s="87"/>
      <c r="D143" s="31">
        <f t="shared" si="9"/>
        <v>8.3000000000000007</v>
      </c>
      <c r="E143" s="31">
        <f t="shared" si="10"/>
        <v>-14.05998372885044</v>
      </c>
      <c r="F143" s="31"/>
      <c r="G143" s="31"/>
      <c r="H143" s="31">
        <v>83</v>
      </c>
      <c r="I143" s="87">
        <f t="shared" si="7"/>
        <v>1.6999999999999993</v>
      </c>
      <c r="J143" s="31">
        <f t="shared" si="11"/>
        <v>8.3000000000000007</v>
      </c>
      <c r="K143" s="31">
        <f t="shared" si="8"/>
        <v>-75.438405610179416</v>
      </c>
      <c r="L143" s="31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  <c r="AE143" s="10"/>
      <c r="AF143" s="10"/>
    </row>
    <row r="144" spans="1:32">
      <c r="A144" s="31"/>
      <c r="B144" s="87">
        <v>84</v>
      </c>
      <c r="C144" s="87"/>
      <c r="D144" s="31">
        <f t="shared" si="9"/>
        <v>8.4</v>
      </c>
      <c r="E144" s="31">
        <f t="shared" si="10"/>
        <v>-14.164007602566599</v>
      </c>
      <c r="F144" s="31"/>
      <c r="G144" s="31"/>
      <c r="H144" s="31">
        <v>84</v>
      </c>
      <c r="I144" s="87">
        <f t="shared" si="7"/>
        <v>1.5999999999999996</v>
      </c>
      <c r="J144" s="31">
        <f t="shared" si="11"/>
        <v>8.4</v>
      </c>
      <c r="K144" s="31">
        <f t="shared" si="8"/>
        <v>-75.542429483895575</v>
      </c>
      <c r="L144" s="31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0"/>
      <c r="AE144" s="10"/>
      <c r="AF144" s="10"/>
    </row>
    <row r="145" spans="1:32">
      <c r="A145" s="31"/>
      <c r="B145" s="87">
        <v>85</v>
      </c>
      <c r="C145" s="87"/>
      <c r="D145" s="31">
        <f t="shared" si="9"/>
        <v>8.5</v>
      </c>
      <c r="E145" s="31">
        <f t="shared" si="10"/>
        <v>-14.266800395614815</v>
      </c>
      <c r="F145" s="31"/>
      <c r="G145" s="31"/>
      <c r="H145" s="31">
        <v>85</v>
      </c>
      <c r="I145" s="87">
        <f t="shared" si="7"/>
        <v>1.5</v>
      </c>
      <c r="J145" s="31">
        <f t="shared" si="11"/>
        <v>8.5</v>
      </c>
      <c r="K145" s="31">
        <f t="shared" si="8"/>
        <v>-75.645222276943798</v>
      </c>
      <c r="L145" s="31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0"/>
      <c r="AE145" s="10"/>
      <c r="AF145" s="10"/>
    </row>
    <row r="146" spans="1:32">
      <c r="A146" s="31"/>
      <c r="B146" s="87">
        <v>86</v>
      </c>
      <c r="C146" s="87"/>
      <c r="D146" s="31">
        <f t="shared" si="9"/>
        <v>8.6</v>
      </c>
      <c r="E146" s="31">
        <f t="shared" si="10"/>
        <v>-14.368390906200318</v>
      </c>
      <c r="F146" s="31"/>
      <c r="G146" s="31"/>
      <c r="H146" s="31">
        <v>86</v>
      </c>
      <c r="I146" s="87">
        <f t="shared" si="7"/>
        <v>1.4000000000000004</v>
      </c>
      <c r="J146" s="31">
        <f t="shared" si="11"/>
        <v>8.6</v>
      </c>
      <c r="K146" s="31">
        <f t="shared" si="8"/>
        <v>-75.746812787529294</v>
      </c>
      <c r="L146" s="31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  <c r="AE146" s="10"/>
      <c r="AF146" s="10"/>
    </row>
    <row r="147" spans="1:32">
      <c r="A147" s="31"/>
      <c r="B147" s="87">
        <v>87</v>
      </c>
      <c r="C147" s="87"/>
      <c r="D147" s="31">
        <f t="shared" si="9"/>
        <v>8.7000000000000011</v>
      </c>
      <c r="E147" s="31">
        <f t="shared" si="10"/>
        <v>-14.46880693370133</v>
      </c>
      <c r="F147" s="31"/>
      <c r="G147" s="31"/>
      <c r="H147" s="31">
        <v>87</v>
      </c>
      <c r="I147" s="87">
        <f t="shared" si="7"/>
        <v>1.2999999999999989</v>
      </c>
      <c r="J147" s="31">
        <f t="shared" si="11"/>
        <v>8.7000000000000011</v>
      </c>
      <c r="K147" s="31">
        <f t="shared" si="8"/>
        <v>-75.847228815030306</v>
      </c>
      <c r="L147" s="31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  <c r="AE147" s="10"/>
      <c r="AF147" s="10"/>
    </row>
    <row r="148" spans="1:32">
      <c r="A148" s="31"/>
      <c r="B148" s="87">
        <v>88</v>
      </c>
      <c r="C148" s="87"/>
      <c r="D148" s="31">
        <f t="shared" si="9"/>
        <v>8.8000000000000007</v>
      </c>
      <c r="E148" s="31">
        <f t="shared" si="10"/>
        <v>-14.568075324332334</v>
      </c>
      <c r="F148" s="31"/>
      <c r="G148" s="31"/>
      <c r="H148" s="31">
        <v>88</v>
      </c>
      <c r="I148" s="87">
        <f t="shared" si="7"/>
        <v>1.1999999999999993</v>
      </c>
      <c r="J148" s="31">
        <f t="shared" si="11"/>
        <v>8.8000000000000007</v>
      </c>
      <c r="K148" s="31">
        <f t="shared" si="8"/>
        <v>-75.946497205661302</v>
      </c>
      <c r="L148" s="31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  <c r="AE148" s="10"/>
      <c r="AF148" s="10"/>
    </row>
    <row r="149" spans="1:32">
      <c r="A149" s="31"/>
      <c r="B149" s="87">
        <v>89</v>
      </c>
      <c r="C149" s="87"/>
      <c r="D149" s="31">
        <f t="shared" si="9"/>
        <v>8.9</v>
      </c>
      <c r="E149" s="31">
        <f t="shared" si="10"/>
        <v>-14.666222014227216</v>
      </c>
      <c r="F149" s="31"/>
      <c r="G149" s="31"/>
      <c r="H149" s="31">
        <v>89</v>
      </c>
      <c r="I149" s="87">
        <f t="shared" si="7"/>
        <v>1.0999999999999996</v>
      </c>
      <c r="J149" s="31">
        <f t="shared" si="11"/>
        <v>8.9</v>
      </c>
      <c r="K149" s="31">
        <f t="shared" si="8"/>
        <v>-76.044643895556192</v>
      </c>
      <c r="L149" s="31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  <c r="AE149" s="10"/>
      <c r="AF149" s="10"/>
    </row>
    <row r="150" spans="1:32">
      <c r="A150" s="31"/>
      <c r="B150" s="87">
        <v>90</v>
      </c>
      <c r="C150" s="87"/>
      <c r="D150" s="31">
        <f t="shared" si="9"/>
        <v>9</v>
      </c>
      <c r="E150" s="31">
        <f t="shared" si="10"/>
        <v>-14.763272070115462</v>
      </c>
      <c r="F150" s="31"/>
      <c r="G150" s="31"/>
      <c r="H150" s="31">
        <v>90</v>
      </c>
      <c r="I150" s="87">
        <f t="shared" si="7"/>
        <v>1</v>
      </c>
      <c r="J150" s="31">
        <f t="shared" si="11"/>
        <v>9</v>
      </c>
      <c r="K150" s="31">
        <f t="shared" si="8"/>
        <v>-76.141693951444438</v>
      </c>
      <c r="L150" s="31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  <c r="AE150" s="10"/>
      <c r="AF150" s="10"/>
    </row>
    <row r="151" spans="1:32">
      <c r="A151" s="31"/>
      <c r="B151" s="87">
        <v>91</v>
      </c>
      <c r="C151" s="87"/>
      <c r="D151" s="31">
        <f t="shared" si="9"/>
        <v>9.1</v>
      </c>
      <c r="E151" s="31">
        <f t="shared" si="10"/>
        <v>-14.859249727750836</v>
      </c>
      <c r="F151" s="31"/>
      <c r="G151" s="31"/>
      <c r="H151" s="31">
        <v>91</v>
      </c>
      <c r="I151" s="87">
        <f t="shared" si="7"/>
        <v>0.90000000000000036</v>
      </c>
      <c r="J151" s="31">
        <f t="shared" si="11"/>
        <v>9.1</v>
      </c>
      <c r="K151" s="31">
        <f t="shared" si="8"/>
        <v>-76.237671609079811</v>
      </c>
      <c r="L151" s="31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  <c r="AE151" s="10"/>
      <c r="AF151" s="10"/>
    </row>
    <row r="152" spans="1:32">
      <c r="A152" s="31"/>
      <c r="B152" s="87">
        <v>92</v>
      </c>
      <c r="C152" s="87"/>
      <c r="D152" s="31">
        <f t="shared" si="9"/>
        <v>9.2000000000000011</v>
      </c>
      <c r="E152" s="31">
        <f t="shared" si="10"/>
        <v>-14.95417842824007</v>
      </c>
      <c r="F152" s="31"/>
      <c r="G152" s="31"/>
      <c r="H152" s="31">
        <v>92</v>
      </c>
      <c r="I152" s="87">
        <f t="shared" si="7"/>
        <v>0.79999999999999893</v>
      </c>
      <c r="J152" s="31">
        <f t="shared" si="11"/>
        <v>9.2000000000000011</v>
      </c>
      <c r="K152" s="31">
        <f t="shared" si="8"/>
        <v>-76.332600309569045</v>
      </c>
      <c r="L152" s="31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  <c r="AE152" s="10"/>
      <c r="AF152" s="10"/>
    </row>
    <row r="153" spans="1:32">
      <c r="A153" s="31"/>
      <c r="B153" s="87">
        <v>93</v>
      </c>
      <c r="C153" s="87"/>
      <c r="D153" s="31">
        <f t="shared" si="9"/>
        <v>9.3000000000000007</v>
      </c>
      <c r="E153" s="31">
        <f t="shared" si="10"/>
        <v>-15.048080852407665</v>
      </c>
      <c r="F153" s="31"/>
      <c r="G153" s="31"/>
      <c r="H153" s="31">
        <v>93</v>
      </c>
      <c r="I153" s="87">
        <f t="shared" si="7"/>
        <v>0.69999999999999929</v>
      </c>
      <c r="J153" s="31">
        <f t="shared" si="11"/>
        <v>9.3000000000000007</v>
      </c>
      <c r="K153" s="31">
        <f t="shared" si="8"/>
        <v>-76.42650273373664</v>
      </c>
      <c r="L153" s="31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  <c r="AE153" s="10"/>
      <c r="AF153" s="10"/>
    </row>
    <row r="154" spans="1:32">
      <c r="A154" s="31"/>
      <c r="B154" s="87">
        <v>94</v>
      </c>
      <c r="C154" s="87"/>
      <c r="D154" s="31">
        <f t="shared" si="9"/>
        <v>9.4</v>
      </c>
      <c r="E154" s="31">
        <f t="shared" si="10"/>
        <v>-15.140978953322936</v>
      </c>
      <c r="F154" s="31"/>
      <c r="G154" s="31"/>
      <c r="H154" s="31">
        <v>94</v>
      </c>
      <c r="I154" s="87">
        <f t="shared" si="7"/>
        <v>0.59999999999999964</v>
      </c>
      <c r="J154" s="31">
        <f t="shared" si="11"/>
        <v>9.4</v>
      </c>
      <c r="K154" s="31">
        <f t="shared" si="8"/>
        <v>-76.519400834651918</v>
      </c>
      <c r="L154" s="31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  <c r="AE154" s="10"/>
      <c r="AF154" s="10"/>
    </row>
    <row r="155" spans="1:32">
      <c r="A155" s="31"/>
      <c r="B155" s="87">
        <v>95</v>
      </c>
      <c r="C155" s="87"/>
      <c r="D155" s="31">
        <f t="shared" si="9"/>
        <v>9.5</v>
      </c>
      <c r="E155" s="31">
        <f t="shared" si="10"/>
        <v>-15.232893987105918</v>
      </c>
      <c r="F155" s="31"/>
      <c r="G155" s="31"/>
      <c r="H155" s="31">
        <v>95</v>
      </c>
      <c r="I155" s="87">
        <f t="shared" si="7"/>
        <v>0.5</v>
      </c>
      <c r="J155" s="31">
        <f t="shared" si="11"/>
        <v>9.5</v>
      </c>
      <c r="K155" s="31">
        <f t="shared" si="8"/>
        <v>-76.6113158684349</v>
      </c>
      <c r="L155" s="31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  <c r="AE155" s="10"/>
      <c r="AF155" s="10"/>
    </row>
    <row r="156" spans="1:32">
      <c r="A156" s="31"/>
      <c r="B156" s="87">
        <v>96</v>
      </c>
      <c r="C156" s="87"/>
      <c r="D156" s="31">
        <f t="shared" si="9"/>
        <v>9.6000000000000014</v>
      </c>
      <c r="E156" s="31">
        <f t="shared" si="10"/>
        <v>-15.323846542120329</v>
      </c>
      <c r="F156" s="31"/>
      <c r="G156" s="31"/>
      <c r="H156" s="31">
        <v>96</v>
      </c>
      <c r="I156" s="87">
        <f t="shared" si="7"/>
        <v>0.39999999999999858</v>
      </c>
      <c r="J156" s="31">
        <f t="shared" si="11"/>
        <v>9.6000000000000014</v>
      </c>
      <c r="K156" s="31">
        <f t="shared" si="8"/>
        <v>-76.702268423449311</v>
      </c>
      <c r="L156" s="31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  <c r="AE156" s="10"/>
      <c r="AF156" s="10"/>
    </row>
    <row r="157" spans="1:32">
      <c r="A157" s="31"/>
      <c r="B157" s="87">
        <v>97</v>
      </c>
      <c r="C157" s="87"/>
      <c r="D157" s="31">
        <f t="shared" si="9"/>
        <v>9.7000000000000011</v>
      </c>
      <c r="E157" s="31">
        <f t="shared" si="10"/>
        <v>-15.413856566653863</v>
      </c>
      <c r="F157" s="31"/>
      <c r="G157" s="31"/>
      <c r="H157" s="31">
        <v>97</v>
      </c>
      <c r="I157" s="87">
        <f t="shared" si="7"/>
        <v>0.29999999999999893</v>
      </c>
      <c r="J157" s="31">
        <f t="shared" si="11"/>
        <v>9.7000000000000011</v>
      </c>
      <c r="K157" s="31">
        <f t="shared" ref="K157:K160" si="12">B$21+(27.55-20*LOG(J157,10)-20*LOG(B$10,10))</f>
        <v>-76.792278447982838</v>
      </c>
      <c r="L157" s="31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0"/>
      <c r="AE157" s="10"/>
      <c r="AF157" s="10"/>
    </row>
    <row r="158" spans="1:32">
      <c r="A158" s="31"/>
      <c r="B158" s="87">
        <v>98</v>
      </c>
      <c r="C158" s="87"/>
      <c r="D158" s="31">
        <f t="shared" si="9"/>
        <v>9.8000000000000007</v>
      </c>
      <c r="E158" s="31">
        <f t="shared" si="10"/>
        <v>-15.50294339517886</v>
      </c>
      <c r="F158" s="31"/>
      <c r="G158" s="31"/>
      <c r="H158" s="31">
        <v>98</v>
      </c>
      <c r="I158" s="87">
        <f t="shared" si="7"/>
        <v>0.19999999999999929</v>
      </c>
      <c r="J158" s="31">
        <f t="shared" si="11"/>
        <v>9.8000000000000007</v>
      </c>
      <c r="K158" s="31">
        <f t="shared" si="12"/>
        <v>-76.881365276507836</v>
      </c>
      <c r="L158" s="31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  <c r="AE158" s="10"/>
      <c r="AF158" s="10"/>
    </row>
    <row r="159" spans="1:32">
      <c r="A159" s="31"/>
      <c r="B159" s="87">
        <v>99</v>
      </c>
      <c r="C159" s="87"/>
      <c r="D159" s="31">
        <f t="shared" si="9"/>
        <v>9.9</v>
      </c>
      <c r="E159" s="31">
        <f t="shared" si="10"/>
        <v>-15.591125773279956</v>
      </c>
      <c r="F159" s="31"/>
      <c r="G159" s="31"/>
      <c r="H159" s="31">
        <v>99</v>
      </c>
      <c r="I159" s="87">
        <f t="shared" si="7"/>
        <v>9.9999999999999645E-2</v>
      </c>
      <c r="J159" s="31">
        <f t="shared" si="11"/>
        <v>9.9</v>
      </c>
      <c r="K159" s="31">
        <f t="shared" si="12"/>
        <v>-76.969547654608931</v>
      </c>
      <c r="L159" s="31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  <c r="AE159" s="10"/>
      <c r="AF159" s="10"/>
    </row>
    <row r="160" spans="1:32">
      <c r="A160" s="31"/>
      <c r="B160" s="87">
        <v>100</v>
      </c>
      <c r="C160" s="87"/>
      <c r="D160" s="31">
        <f t="shared" si="9"/>
        <v>10</v>
      </c>
      <c r="E160" s="31">
        <f t="shared" si="10"/>
        <v>-15.678421881328958</v>
      </c>
      <c r="F160" s="31"/>
      <c r="G160" s="31"/>
      <c r="H160" s="31">
        <v>100</v>
      </c>
      <c r="I160" s="87">
        <f t="shared" si="7"/>
        <v>0</v>
      </c>
      <c r="J160" s="31">
        <f t="shared" si="11"/>
        <v>10</v>
      </c>
      <c r="K160" s="89">
        <f t="shared" si="12"/>
        <v>-77.056843762657934</v>
      </c>
      <c r="L160" s="31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  <c r="AE160" s="10"/>
      <c r="AF160" s="10"/>
    </row>
    <row r="161" spans="1:32">
      <c r="A161" s="31"/>
      <c r="B161" s="87"/>
      <c r="C161" s="87"/>
      <c r="D161" s="31"/>
      <c r="E161" s="31"/>
      <c r="F161" s="31"/>
      <c r="G161" s="31"/>
      <c r="H161" s="31"/>
      <c r="I161" s="31"/>
      <c r="J161" s="31"/>
      <c r="K161" s="31"/>
      <c r="L161" s="31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0"/>
      <c r="AE161" s="10"/>
      <c r="AF161" s="10"/>
    </row>
    <row r="162" spans="1:32">
      <c r="A162" s="31"/>
      <c r="B162" s="87"/>
      <c r="C162" s="87"/>
      <c r="D162" s="31"/>
      <c r="E162" s="31"/>
      <c r="F162" s="31"/>
      <c r="G162" s="31"/>
      <c r="H162" s="31"/>
      <c r="I162" s="31"/>
      <c r="J162" s="31"/>
      <c r="K162" s="31"/>
      <c r="L162" s="31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0"/>
      <c r="AE162" s="10"/>
      <c r="AF162" s="10"/>
    </row>
    <row r="163" spans="1:32">
      <c r="A163" s="31"/>
      <c r="B163" s="87"/>
      <c r="C163" s="87"/>
      <c r="D163" s="31"/>
      <c r="E163" s="31"/>
      <c r="F163" s="31"/>
      <c r="G163" s="31"/>
      <c r="H163" s="31"/>
      <c r="I163" s="31"/>
      <c r="J163" s="31"/>
      <c r="K163" s="31"/>
      <c r="L163" s="31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  <c r="AE163" s="10"/>
      <c r="AF163" s="10"/>
    </row>
  </sheetData>
  <sheetProtection password="CC57" sheet="1" objects="1" scenarios="1"/>
  <mergeCells count="4">
    <mergeCell ref="A38:C38"/>
    <mergeCell ref="A37:C37"/>
    <mergeCell ref="B59:E59"/>
    <mergeCell ref="H59:K59"/>
  </mergeCells>
  <conditionalFormatting sqref="B8">
    <cfRule type="cellIs" dxfId="29" priority="15" operator="lessThanOrEqual">
      <formula>$B$1</formula>
    </cfRule>
    <cfRule type="cellIs" dxfId="28" priority="16" operator="greaterThan">
      <formula>$B$1</formula>
    </cfRule>
  </conditionalFormatting>
  <conditionalFormatting sqref="A37:C38">
    <cfRule type="containsText" dxfId="27" priority="5" operator="containsText" text="PEQUENA">
      <formula>NOT(ISERROR(SEARCH("PEQUENA",A37)))</formula>
    </cfRule>
    <cfRule type="containsText" dxfId="26" priority="6" operator="containsText" text="FALHA">
      <formula>NOT(ISERROR(SEARCH("FALHA",A37)))</formula>
    </cfRule>
    <cfRule type="containsText" dxfId="25" priority="7" operator="containsText" text="MÉDIA">
      <formula>NOT(ISERROR(SEARCH("MÉDIA",A37)))</formula>
    </cfRule>
    <cfRule type="containsText" dxfId="24" priority="13" operator="containsText" text="GRANDE">
      <formula>NOT(ISERROR(SEARCH("GRANDE",A37)))</formula>
    </cfRule>
  </conditionalFormatting>
  <conditionalFormatting sqref="A38:C38">
    <cfRule type="containsText" dxfId="23" priority="8" operator="containsText" text="FALHA">
      <formula>NOT(ISERROR(SEARCH("FALHA",A38)))</formula>
    </cfRule>
    <cfRule type="containsText" dxfId="22" priority="11" operator="containsText" text="OK">
      <formula>NOT(ISERROR(SEARCH("OK",A38)))</formula>
    </cfRule>
    <cfRule type="expression" dxfId="21" priority="12">
      <formula>"B9&lt;B14"</formula>
    </cfRule>
  </conditionalFormatting>
  <conditionalFormatting sqref="A38:C38">
    <cfRule type="containsText" dxfId="20" priority="9" operator="containsText" text="OK">
      <formula>NOT(ISERROR(SEARCH("OK",A38)))</formula>
    </cfRule>
    <cfRule type="expression" dxfId="19" priority="10">
      <formula>"B9&lt;B14"</formula>
    </cfRule>
  </conditionalFormatting>
  <pageMargins left="0.511811024" right="0.511811024" top="0.78740157499999996" bottom="0.78740157499999996" header="0.31496062000000002" footer="0.31496062000000002"/>
  <pageSetup paperSize="9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B4:G22"/>
  <sheetViews>
    <sheetView zoomScale="145" zoomScaleNormal="145" workbookViewId="0">
      <selection activeCell="D10" sqref="D10"/>
    </sheetView>
  </sheetViews>
  <sheetFormatPr defaultColWidth="9.140625" defaultRowHeight="15"/>
  <cols>
    <col min="1" max="1" width="9.140625" style="11"/>
    <col min="2" max="2" width="15" style="11" customWidth="1"/>
    <col min="3" max="3" width="19" style="11" customWidth="1"/>
    <col min="4" max="4" width="23" style="9" customWidth="1"/>
    <col min="5" max="6" width="9.140625" style="11"/>
    <col min="7" max="7" width="8" style="11" customWidth="1"/>
    <col min="8" max="16384" width="9.140625" style="11"/>
  </cols>
  <sheetData>
    <row r="4" spans="2:7" ht="15.75" thickBot="1"/>
    <row r="5" spans="2:7">
      <c r="B5" s="189" t="s">
        <v>43</v>
      </c>
      <c r="C5" s="37" t="s">
        <v>44</v>
      </c>
      <c r="D5" s="184">
        <v>36</v>
      </c>
      <c r="E5" s="38" t="s">
        <v>45</v>
      </c>
    </row>
    <row r="6" spans="2:7">
      <c r="B6" s="190"/>
      <c r="C6" s="39"/>
      <c r="D6" s="40"/>
      <c r="E6" s="41"/>
    </row>
    <row r="7" spans="2:7" ht="15.75" thickBot="1">
      <c r="B7" s="191"/>
      <c r="C7" s="36" t="s">
        <v>46</v>
      </c>
      <c r="D7" s="54">
        <f>POWER(10,(D5-30)/10)</f>
        <v>3.9810717055349727</v>
      </c>
      <c r="E7" s="42" t="s">
        <v>47</v>
      </c>
      <c r="G7" s="55"/>
    </row>
    <row r="8" spans="2:7" ht="15.75" thickBot="1">
      <c r="B8" s="10"/>
      <c r="C8" s="10"/>
      <c r="D8" s="43"/>
      <c r="E8" s="44"/>
    </row>
    <row r="9" spans="2:7">
      <c r="B9" s="189" t="s">
        <v>43</v>
      </c>
      <c r="C9" s="37" t="s">
        <v>44</v>
      </c>
      <c r="D9" s="185">
        <v>4</v>
      </c>
      <c r="E9" s="38" t="s">
        <v>47</v>
      </c>
    </row>
    <row r="10" spans="2:7">
      <c r="B10" s="190"/>
      <c r="C10" s="39"/>
      <c r="D10" s="40"/>
      <c r="E10" s="41"/>
    </row>
    <row r="11" spans="2:7" ht="15.75" thickBot="1">
      <c r="B11" s="191"/>
      <c r="C11" s="36" t="s">
        <v>46</v>
      </c>
      <c r="D11" s="143">
        <f>10*LOG(1000*D9)</f>
        <v>36.020599913279625</v>
      </c>
      <c r="E11" s="42" t="s">
        <v>1</v>
      </c>
    </row>
    <row r="12" spans="2:7" ht="15.75" thickBot="1">
      <c r="B12" s="10"/>
      <c r="C12" s="10"/>
      <c r="D12" s="43"/>
      <c r="E12" s="44"/>
    </row>
    <row r="13" spans="2:7">
      <c r="B13" s="189" t="s">
        <v>48</v>
      </c>
      <c r="C13" s="37" t="s">
        <v>44</v>
      </c>
      <c r="D13" s="185">
        <v>2</v>
      </c>
      <c r="E13" s="38" t="s">
        <v>49</v>
      </c>
    </row>
    <row r="14" spans="2:7">
      <c r="B14" s="190"/>
      <c r="C14" s="39"/>
      <c r="D14" s="40"/>
      <c r="E14" s="41"/>
    </row>
    <row r="15" spans="2:7" ht="15.75" thickBot="1">
      <c r="B15" s="191"/>
      <c r="C15" s="36" t="s">
        <v>46</v>
      </c>
      <c r="D15" s="143">
        <f>10*LOG10(D13)</f>
        <v>3.0102999566398121</v>
      </c>
      <c r="E15" s="42" t="s">
        <v>25</v>
      </c>
    </row>
    <row r="16" spans="2:7" ht="15.75" thickBot="1">
      <c r="B16" s="10"/>
      <c r="C16" s="10"/>
      <c r="D16" s="43"/>
      <c r="E16" s="44"/>
    </row>
    <row r="17" spans="2:5">
      <c r="B17" s="189" t="s">
        <v>48</v>
      </c>
      <c r="C17" s="37" t="s">
        <v>44</v>
      </c>
      <c r="D17" s="185">
        <v>-33</v>
      </c>
      <c r="E17" s="38" t="s">
        <v>25</v>
      </c>
    </row>
    <row r="18" spans="2:5">
      <c r="B18" s="190"/>
      <c r="C18" s="39"/>
      <c r="D18" s="40"/>
      <c r="E18" s="41"/>
    </row>
    <row r="19" spans="2:5" ht="15.75" thickBot="1">
      <c r="B19" s="191"/>
      <c r="C19" s="36" t="s">
        <v>46</v>
      </c>
      <c r="D19" s="54">
        <f>POWER(10,D17/10)</f>
        <v>5.0118723362727209E-4</v>
      </c>
      <c r="E19" s="42" t="s">
        <v>49</v>
      </c>
    </row>
    <row r="21" spans="2:5">
      <c r="C21" s="186" t="s">
        <v>145</v>
      </c>
    </row>
    <row r="22" spans="2:5">
      <c r="C22" s="6" t="s">
        <v>146</v>
      </c>
    </row>
  </sheetData>
  <sheetProtection password="CC57" sheet="1" objects="1" scenarios="1"/>
  <mergeCells count="4">
    <mergeCell ref="B5:B7"/>
    <mergeCell ref="B9:B11"/>
    <mergeCell ref="B13:B15"/>
    <mergeCell ref="B17:B19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C1:T25"/>
  <sheetViews>
    <sheetView zoomScale="130" zoomScaleNormal="130" workbookViewId="0">
      <selection activeCell="M11" sqref="M11"/>
    </sheetView>
  </sheetViews>
  <sheetFormatPr defaultRowHeight="15"/>
  <cols>
    <col min="2" max="2" width="9.85546875" bestFit="1" customWidth="1"/>
    <col min="3" max="3" width="14.28515625" customWidth="1"/>
    <col min="5" max="5" width="12.85546875" bestFit="1" customWidth="1"/>
    <col min="6" max="8" width="2" hidden="1" customWidth="1"/>
    <col min="9" max="9" width="2.140625" style="45" customWidth="1"/>
    <col min="10" max="10" width="12.7109375" customWidth="1"/>
    <col min="11" max="11" width="12.85546875" bestFit="1" customWidth="1"/>
    <col min="12" max="12" width="13.42578125" customWidth="1"/>
    <col min="13" max="13" width="18.140625" customWidth="1"/>
    <col min="14" max="14" width="19.28515625" bestFit="1" customWidth="1"/>
    <col min="15" max="15" width="15.7109375" customWidth="1"/>
    <col min="16" max="18" width="9.140625" hidden="1" customWidth="1"/>
    <col min="20" max="20" width="19.28515625" bestFit="1" customWidth="1"/>
  </cols>
  <sheetData>
    <row r="1" spans="3:18" ht="15.75" thickBot="1">
      <c r="J1" s="218">
        <f>[1]Cliente!D1</f>
        <v>0</v>
      </c>
      <c r="K1" s="218"/>
      <c r="L1" s="218"/>
    </row>
    <row r="2" spans="3:18" ht="15.75" hidden="1" thickBot="1">
      <c r="J2" s="212">
        <f>[1]Cliente!D2</f>
        <v>0</v>
      </c>
      <c r="K2" s="213"/>
      <c r="L2" s="214"/>
    </row>
    <row r="3" spans="3:18" ht="29.25" customHeight="1" thickBot="1">
      <c r="J3" s="215" t="s">
        <v>52</v>
      </c>
      <c r="K3" s="216"/>
      <c r="L3" s="217"/>
    </row>
    <row r="4" spans="3:18" ht="22.5" customHeight="1" thickBot="1">
      <c r="E4" s="125" t="s">
        <v>53</v>
      </c>
      <c r="F4" s="124"/>
      <c r="G4" s="124"/>
      <c r="H4" s="124"/>
      <c r="J4" s="116" t="s">
        <v>54</v>
      </c>
      <c r="K4" s="133" t="s">
        <v>55</v>
      </c>
      <c r="L4" s="131" t="s">
        <v>106</v>
      </c>
    </row>
    <row r="5" spans="3:18" hidden="1">
      <c r="E5" s="124"/>
      <c r="F5" s="124"/>
      <c r="G5" s="124"/>
      <c r="H5" s="124"/>
      <c r="J5" s="51">
        <f>IF($J$1&lt;6,1,0)</f>
        <v>1</v>
      </c>
      <c r="K5" s="51">
        <f>IF(6&lt;=$J$1,1,0)</f>
        <v>0</v>
      </c>
      <c r="L5" s="51">
        <f>IF($J$1&gt;=8,1,0)</f>
        <v>0</v>
      </c>
    </row>
    <row r="6" spans="3:18" hidden="1">
      <c r="E6" s="124"/>
      <c r="F6" s="124"/>
      <c r="G6" s="124"/>
      <c r="H6" s="124"/>
      <c r="J6" s="51">
        <f>J5</f>
        <v>1</v>
      </c>
      <c r="K6" s="51">
        <f>IF(J1&lt;8,1,0)</f>
        <v>1</v>
      </c>
      <c r="L6" s="51">
        <f>L5</f>
        <v>0</v>
      </c>
    </row>
    <row r="7" spans="3:18" hidden="1">
      <c r="E7" s="124"/>
      <c r="F7" s="124"/>
      <c r="G7" s="124"/>
      <c r="H7" s="124"/>
      <c r="J7" s="51">
        <f>J6</f>
        <v>1</v>
      </c>
      <c r="K7" s="51">
        <f>K5*K6</f>
        <v>0</v>
      </c>
      <c r="L7" s="51">
        <f>L6</f>
        <v>0</v>
      </c>
    </row>
    <row r="8" spans="3:18" ht="7.5" customHeight="1" thickBot="1">
      <c r="D8" s="46"/>
      <c r="E8" s="47"/>
      <c r="F8" s="47"/>
      <c r="G8" s="47"/>
      <c r="H8" s="47"/>
      <c r="I8" s="46"/>
      <c r="J8" s="47"/>
      <c r="K8" s="47"/>
      <c r="L8" s="47"/>
    </row>
    <row r="9" spans="3:18" ht="39" customHeight="1" thickBot="1">
      <c r="C9" s="208">
        <f>[1]Integrador!D1</f>
        <v>7.9603053435114361</v>
      </c>
      <c r="D9" s="209" t="s">
        <v>56</v>
      </c>
      <c r="E9" s="130" t="s">
        <v>106</v>
      </c>
      <c r="F9" s="51">
        <f>IF($C$9&gt;=8,1,0)</f>
        <v>0</v>
      </c>
      <c r="G9" s="51">
        <f>F9</f>
        <v>0</v>
      </c>
      <c r="H9" s="51">
        <f>G9</f>
        <v>0</v>
      </c>
      <c r="I9" s="48"/>
      <c r="J9" s="126" t="s">
        <v>55</v>
      </c>
      <c r="K9" s="115" t="s">
        <v>57</v>
      </c>
      <c r="L9" s="115" t="s">
        <v>57</v>
      </c>
      <c r="P9" s="123">
        <f>J7*H9</f>
        <v>0</v>
      </c>
      <c r="Q9" s="122">
        <f>K7*H9</f>
        <v>0</v>
      </c>
      <c r="R9" s="121">
        <f>L7*H9</f>
        <v>0</v>
      </c>
    </row>
    <row r="10" spans="3:18" ht="38.25" customHeight="1" thickBot="1">
      <c r="C10" s="208"/>
      <c r="D10" s="210"/>
      <c r="E10" s="120" t="s">
        <v>55</v>
      </c>
      <c r="F10" s="51">
        <f>IF(6&lt;=$C$9,1,0)</f>
        <v>1</v>
      </c>
      <c r="G10" s="51">
        <f>IF(C9&lt;8,1,0)</f>
        <v>1</v>
      </c>
      <c r="H10" s="51">
        <f>F10*G10</f>
        <v>1</v>
      </c>
      <c r="I10" s="48"/>
      <c r="J10" s="127" t="s">
        <v>58</v>
      </c>
      <c r="K10" s="126" t="s">
        <v>55</v>
      </c>
      <c r="L10" s="115" t="s">
        <v>57</v>
      </c>
      <c r="P10" s="119">
        <f>J7*H10</f>
        <v>1</v>
      </c>
      <c r="Q10" s="118">
        <f>K7*H10</f>
        <v>0</v>
      </c>
      <c r="R10" s="117">
        <f>L7*H10</f>
        <v>0</v>
      </c>
    </row>
    <row r="11" spans="3:18" ht="44.25" customHeight="1" thickBot="1">
      <c r="C11" s="208"/>
      <c r="D11" s="211"/>
      <c r="E11" s="132" t="s">
        <v>54</v>
      </c>
      <c r="F11" s="51">
        <f>IF($C$9&lt;6,1,0)</f>
        <v>0</v>
      </c>
      <c r="G11" s="51">
        <f>F11</f>
        <v>0</v>
      </c>
      <c r="H11" s="51">
        <f>G11</f>
        <v>0</v>
      </c>
      <c r="I11" s="48"/>
      <c r="J11" s="127" t="s">
        <v>58</v>
      </c>
      <c r="K11" s="127" t="s">
        <v>58</v>
      </c>
      <c r="L11" s="126" t="s">
        <v>55</v>
      </c>
      <c r="P11" s="114">
        <f>J7*H11</f>
        <v>0</v>
      </c>
      <c r="Q11" s="113">
        <f>K7*H11</f>
        <v>0</v>
      </c>
      <c r="R11" s="112">
        <f>L7*H11</f>
        <v>0</v>
      </c>
    </row>
    <row r="12" spans="3:18" ht="19.5" customHeight="1">
      <c r="C12" s="45"/>
      <c r="D12" s="50"/>
      <c r="E12" s="51"/>
      <c r="F12" s="51"/>
      <c r="G12" s="51"/>
      <c r="H12" s="51"/>
      <c r="I12" s="50"/>
      <c r="J12" s="51"/>
      <c r="K12" s="51"/>
      <c r="L12" s="51"/>
      <c r="M12" s="45"/>
      <c r="N12" s="45"/>
    </row>
    <row r="13" spans="3:18" ht="19.5" customHeight="1">
      <c r="C13" s="45"/>
      <c r="D13" s="50"/>
      <c r="E13" s="51"/>
      <c r="F13" s="51"/>
      <c r="G13" s="51"/>
      <c r="H13" s="51"/>
      <c r="I13" s="50"/>
      <c r="J13" s="51"/>
      <c r="K13" s="51"/>
      <c r="L13" s="51"/>
      <c r="M13" s="45"/>
      <c r="N13" s="45"/>
    </row>
    <row r="14" spans="3:18">
      <c r="E14" s="111"/>
      <c r="F14" s="111"/>
      <c r="G14" s="111"/>
      <c r="H14" s="111"/>
    </row>
    <row r="15" spans="3:18">
      <c r="E15" s="111"/>
      <c r="F15" s="111"/>
      <c r="G15" s="111"/>
      <c r="H15" s="111"/>
      <c r="J15" s="207" t="s">
        <v>105</v>
      </c>
      <c r="K15" s="207"/>
      <c r="L15" s="192" t="s">
        <v>104</v>
      </c>
      <c r="M15" s="193"/>
      <c r="N15" s="194"/>
    </row>
    <row r="16" spans="3:18" ht="15.75" thickBot="1">
      <c r="J16" s="110" t="s">
        <v>103</v>
      </c>
      <c r="K16" s="95" t="s">
        <v>102</v>
      </c>
      <c r="L16" s="110" t="s">
        <v>59</v>
      </c>
      <c r="M16" s="110" t="s">
        <v>101</v>
      </c>
      <c r="N16" s="110" t="s">
        <v>100</v>
      </c>
    </row>
    <row r="17" spans="4:20">
      <c r="D17" s="195" t="s">
        <v>53</v>
      </c>
      <c r="E17" s="198" t="s">
        <v>58</v>
      </c>
      <c r="J17" s="52" t="s">
        <v>60</v>
      </c>
      <c r="K17" s="52" t="s">
        <v>61</v>
      </c>
      <c r="L17" s="109"/>
      <c r="M17" s="108"/>
      <c r="N17" s="107"/>
      <c r="S17" s="106"/>
      <c r="T17" t="s">
        <v>99</v>
      </c>
    </row>
    <row r="18" spans="4:20">
      <c r="D18" s="196"/>
      <c r="E18" s="199"/>
      <c r="J18" s="49" t="s">
        <v>62</v>
      </c>
      <c r="K18" s="49" t="s">
        <v>63</v>
      </c>
      <c r="L18" s="103"/>
      <c r="M18" s="102"/>
      <c r="N18" s="99"/>
      <c r="S18" s="105"/>
      <c r="T18" t="s">
        <v>98</v>
      </c>
    </row>
    <row r="19" spans="4:20">
      <c r="D19" s="196"/>
      <c r="E19" s="200"/>
      <c r="J19" s="53" t="s">
        <v>63</v>
      </c>
      <c r="K19" s="53" t="s">
        <v>64</v>
      </c>
      <c r="L19" s="99"/>
      <c r="M19" s="98"/>
      <c r="N19" s="98"/>
      <c r="S19" s="104"/>
      <c r="T19" t="s">
        <v>97</v>
      </c>
    </row>
    <row r="20" spans="4:20">
      <c r="D20" s="196"/>
      <c r="E20" s="201" t="s">
        <v>55</v>
      </c>
      <c r="J20" s="52" t="s">
        <v>60</v>
      </c>
      <c r="K20" s="52" t="s">
        <v>61</v>
      </c>
      <c r="L20" s="103"/>
      <c r="M20" s="102"/>
      <c r="N20" s="99"/>
      <c r="S20" s="101"/>
      <c r="T20" t="s">
        <v>96</v>
      </c>
    </row>
    <row r="21" spans="4:20">
      <c r="D21" s="196"/>
      <c r="E21" s="202"/>
      <c r="J21" s="49" t="s">
        <v>62</v>
      </c>
      <c r="K21" s="49" t="s">
        <v>63</v>
      </c>
      <c r="L21" s="99"/>
      <c r="M21" s="98"/>
      <c r="N21" s="98"/>
      <c r="S21" s="100"/>
      <c r="T21" t="s">
        <v>95</v>
      </c>
    </row>
    <row r="22" spans="4:20">
      <c r="D22" s="196"/>
      <c r="E22" s="203"/>
      <c r="J22" s="53" t="s">
        <v>63</v>
      </c>
      <c r="K22" s="53" t="s">
        <v>64</v>
      </c>
      <c r="L22" s="99"/>
      <c r="M22" s="98"/>
      <c r="N22" s="97"/>
    </row>
    <row r="23" spans="4:20">
      <c r="D23" s="196"/>
      <c r="E23" s="204" t="s">
        <v>57</v>
      </c>
      <c r="J23" s="52" t="s">
        <v>60</v>
      </c>
      <c r="K23" s="52" t="s">
        <v>61</v>
      </c>
      <c r="L23" s="99"/>
      <c r="M23" s="98"/>
      <c r="N23" s="97"/>
    </row>
    <row r="24" spans="4:20">
      <c r="D24" s="196"/>
      <c r="E24" s="205"/>
      <c r="J24" s="49" t="s">
        <v>62</v>
      </c>
      <c r="K24" s="49" t="s">
        <v>63</v>
      </c>
      <c r="L24" s="98"/>
      <c r="M24" s="97"/>
      <c r="N24" s="96"/>
    </row>
    <row r="25" spans="4:20" ht="15.75" thickBot="1">
      <c r="D25" s="197"/>
      <c r="E25" s="206"/>
      <c r="J25" s="53" t="s">
        <v>63</v>
      </c>
      <c r="K25" s="53" t="s">
        <v>64</v>
      </c>
      <c r="L25" s="96"/>
      <c r="M25" s="96"/>
      <c r="N25" s="96"/>
    </row>
  </sheetData>
  <sheetProtection password="CC57" sheet="1" objects="1" scenarios="1"/>
  <mergeCells count="11">
    <mergeCell ref="C9:C11"/>
    <mergeCell ref="D9:D11"/>
    <mergeCell ref="J2:L2"/>
    <mergeCell ref="J3:L3"/>
    <mergeCell ref="J1:L1"/>
    <mergeCell ref="L15:N15"/>
    <mergeCell ref="D17:D25"/>
    <mergeCell ref="E17:E19"/>
    <mergeCell ref="E20:E22"/>
    <mergeCell ref="E23:E25"/>
    <mergeCell ref="J15:K15"/>
  </mergeCells>
  <conditionalFormatting sqref="E9">
    <cfRule type="expression" dxfId="18" priority="21">
      <formula>$C$9&gt;7.99</formula>
    </cfRule>
  </conditionalFormatting>
  <conditionalFormatting sqref="E10">
    <cfRule type="expression" dxfId="17" priority="20" stopIfTrue="1">
      <formula>$C$9&gt;7.99</formula>
    </cfRule>
  </conditionalFormatting>
  <conditionalFormatting sqref="E10">
    <cfRule type="expression" dxfId="16" priority="18">
      <formula>$C$9&gt;5.99</formula>
    </cfRule>
    <cfRule type="colorScale" priority="19">
      <colorScale>
        <cfvo type="min" val="0"/>
        <cfvo type="percentile" val="50"/>
        <cfvo type="max" val="0"/>
        <color rgb="FFF8696B"/>
        <color rgb="FFFFEB84"/>
        <color rgb="FF63BE7B"/>
      </colorScale>
    </cfRule>
  </conditionalFormatting>
  <conditionalFormatting sqref="E11">
    <cfRule type="expression" dxfId="15" priority="17">
      <formula>$C$9&lt;6</formula>
    </cfRule>
  </conditionalFormatting>
  <conditionalFormatting sqref="J9 L9 K10 K11:L11">
    <cfRule type="containsText" dxfId="14" priority="16" operator="containsText" text="RISCO MÉDIO">
      <formula>NOT(ISERROR(SEARCH("RISCO MÉDIO",J9)))</formula>
    </cfRule>
  </conditionalFormatting>
  <conditionalFormatting sqref="K9 L10">
    <cfRule type="containsText" dxfId="13" priority="15" operator="containsText" text="RISCO BAIXO">
      <formula>NOT(ISERROR(SEARCH("RISCO BAIXO",K9)))</formula>
    </cfRule>
  </conditionalFormatting>
  <conditionalFormatting sqref="L9 L11">
    <cfRule type="containsText" dxfId="12" priority="14" operator="containsText" text="BAIXO">
      <formula>NOT(ISERROR(SEARCH("BAIXO",L9)))</formula>
    </cfRule>
  </conditionalFormatting>
  <conditionalFormatting sqref="J10:J11">
    <cfRule type="containsText" dxfId="11" priority="13" operator="containsText" text="RISCO ALTO">
      <formula>NOT(ISERROR(SEARCH("RISCO ALTO",J10)))</formula>
    </cfRule>
  </conditionalFormatting>
  <conditionalFormatting sqref="J4">
    <cfRule type="expression" dxfId="10" priority="12">
      <formula>$J$1&lt;6</formula>
    </cfRule>
  </conditionalFormatting>
  <conditionalFormatting sqref="K4">
    <cfRule type="expression" dxfId="9" priority="11" stopIfTrue="1">
      <formula>$J$1&gt;7.99</formula>
    </cfRule>
  </conditionalFormatting>
  <conditionalFormatting sqref="K4">
    <cfRule type="expression" dxfId="8" priority="9">
      <formula>$J$1&gt;5.99</formula>
    </cfRule>
    <cfRule type="colorScale" priority="10">
      <colorScale>
        <cfvo type="min" val="0"/>
        <cfvo type="percentile" val="50"/>
        <cfvo type="max" val="0"/>
        <color rgb="FFF8696B"/>
        <color rgb="FFFFEB84"/>
        <color rgb="FF63BE7B"/>
      </colorScale>
    </cfRule>
  </conditionalFormatting>
  <conditionalFormatting sqref="L4">
    <cfRule type="expression" dxfId="7" priority="8">
      <formula>$J$1&gt;7.99</formula>
    </cfRule>
  </conditionalFormatting>
  <conditionalFormatting sqref="L9">
    <cfRule type="containsText" dxfId="6" priority="7" operator="containsText" text="RISCO BAIXO">
      <formula>NOT(ISERROR(SEARCH("RISCO BAIXO",L9)))</formula>
    </cfRule>
  </conditionalFormatting>
  <conditionalFormatting sqref="L10">
    <cfRule type="containsText" dxfId="5" priority="6" operator="containsText" text="RISCO MÉDIO">
      <formula>NOT(ISERROR(SEARCH("RISCO MÉDIO",L10)))</formula>
    </cfRule>
  </conditionalFormatting>
  <conditionalFormatting sqref="L10">
    <cfRule type="containsText" dxfId="4" priority="5" operator="containsText" text="BAIXO">
      <formula>NOT(ISERROR(SEARCH("BAIXO",L10)))</formula>
    </cfRule>
  </conditionalFormatting>
  <conditionalFormatting sqref="L10">
    <cfRule type="containsText" dxfId="3" priority="4" operator="containsText" text="RISCO BAIXO">
      <formula>NOT(ISERROR(SEARCH("RISCO BAIXO",L10)))</formula>
    </cfRule>
  </conditionalFormatting>
  <conditionalFormatting sqref="K9">
    <cfRule type="containsText" dxfId="2" priority="3" operator="containsText" text="RISCO MÉDIO">
      <formula>NOT(ISERROR(SEARCH("RISCO MÉDIO",K9)))</formula>
    </cfRule>
  </conditionalFormatting>
  <conditionalFormatting sqref="K9">
    <cfRule type="containsText" dxfId="1" priority="2" operator="containsText" text="BAIXO">
      <formula>NOT(ISERROR(SEARCH("BAIXO",K9)))</formula>
    </cfRule>
  </conditionalFormatting>
  <conditionalFormatting sqref="K9">
    <cfRule type="containsText" dxfId="0" priority="1" operator="containsText" text="RISCO BAIXO">
      <formula>NOT(ISERROR(SEARCH("RISCO BAIXO",K9)))</formula>
    </cfRule>
  </conditionalFormatting>
  <pageMargins left="0.511811024" right="0.511811024" top="0.78740157499999996" bottom="0.78740157499999996" header="0.31496062000000002" footer="0.31496062000000002"/>
  <pageSetup orientation="portrait" horizontalDpi="1200" verticalDpi="12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B2:G26"/>
  <sheetViews>
    <sheetView zoomScale="115" zoomScaleNormal="115" workbookViewId="0">
      <selection activeCell="C2" sqref="C2"/>
    </sheetView>
  </sheetViews>
  <sheetFormatPr defaultRowHeight="15"/>
  <cols>
    <col min="2" max="2" width="27.42578125" bestFit="1" customWidth="1"/>
    <col min="3" max="3" width="5.85546875" bestFit="1" customWidth="1"/>
    <col min="4" max="4" width="5.5703125" bestFit="1" customWidth="1"/>
    <col min="5" max="5" width="5.85546875" bestFit="1" customWidth="1"/>
    <col min="6" max="6" width="8.7109375" bestFit="1" customWidth="1"/>
    <col min="7" max="7" width="11.42578125" bestFit="1" customWidth="1"/>
  </cols>
  <sheetData>
    <row r="2" spans="2:7">
      <c r="B2" s="83" t="s">
        <v>91</v>
      </c>
      <c r="C2" s="83">
        <f>'Cálculo dos Links'!$B$7/100</f>
        <v>0.15</v>
      </c>
      <c r="D2" s="83" t="s">
        <v>2</v>
      </c>
    </row>
    <row r="3" spans="2:7">
      <c r="B3" s="83" t="s">
        <v>90</v>
      </c>
      <c r="C3" s="83">
        <v>915</v>
      </c>
      <c r="D3" s="83" t="s">
        <v>3</v>
      </c>
    </row>
    <row r="4" spans="2:7">
      <c r="B4" s="85" t="s">
        <v>89</v>
      </c>
      <c r="C4" s="84">
        <f>300/C3</f>
        <v>0.32786885245901637</v>
      </c>
      <c r="D4" s="83" t="s">
        <v>88</v>
      </c>
    </row>
    <row r="5" spans="2:7">
      <c r="E5" s="45"/>
    </row>
    <row r="6" spans="2:7">
      <c r="B6" s="82" t="s">
        <v>87</v>
      </c>
      <c r="C6">
        <f>C4/2/3.1415</f>
        <v>5.2183487579025363E-2</v>
      </c>
      <c r="E6" s="45"/>
    </row>
    <row r="7" spans="2:7">
      <c r="B7" s="81" t="s">
        <v>86</v>
      </c>
      <c r="C7">
        <f>3*C4</f>
        <v>0.98360655737704916</v>
      </c>
    </row>
    <row r="8" spans="2:7">
      <c r="B8" s="81" t="s">
        <v>85</v>
      </c>
      <c r="C8">
        <f>2*C2*C2/C4</f>
        <v>0.13725000000000001</v>
      </c>
    </row>
    <row r="12" spans="2:7">
      <c r="B12" s="72" t="s">
        <v>84</v>
      </c>
      <c r="C12" s="219" t="s">
        <v>83</v>
      </c>
      <c r="D12" s="220"/>
      <c r="E12" s="221"/>
      <c r="F12" s="80"/>
    </row>
    <row r="13" spans="2:7">
      <c r="B13" s="72"/>
      <c r="C13" s="79" t="s">
        <v>82</v>
      </c>
      <c r="D13" s="79" t="s">
        <v>81</v>
      </c>
      <c r="E13" s="79" t="s">
        <v>80</v>
      </c>
      <c r="F13" s="78"/>
    </row>
    <row r="14" spans="2:7">
      <c r="B14" s="72" t="s">
        <v>78</v>
      </c>
      <c r="C14" s="77">
        <v>0</v>
      </c>
      <c r="D14" s="77">
        <f>$C$6</f>
        <v>5.2183487579025363E-2</v>
      </c>
      <c r="E14" s="77">
        <f>$C$6</f>
        <v>5.2183487579025363E-2</v>
      </c>
      <c r="F14" s="76"/>
      <c r="G14" s="68"/>
    </row>
    <row r="15" spans="2:7">
      <c r="B15" s="71" t="s">
        <v>77</v>
      </c>
      <c r="C15" s="77">
        <f>$C$6</f>
        <v>5.2183487579025363E-2</v>
      </c>
      <c r="D15" s="77">
        <f>$C$8</f>
        <v>0.13725000000000001</v>
      </c>
      <c r="E15" s="77">
        <f>$C$7</f>
        <v>0.98360655737704916</v>
      </c>
      <c r="F15" s="76"/>
      <c r="G15" s="68"/>
    </row>
    <row r="16" spans="2:7">
      <c r="B16" s="71" t="s">
        <v>76</v>
      </c>
      <c r="C16" s="77">
        <f>$C$8</f>
        <v>0.13725000000000001</v>
      </c>
      <c r="D16" s="77">
        <f>$C$7</f>
        <v>0.98360655737704916</v>
      </c>
      <c r="E16" s="77">
        <f>10*$C$4</f>
        <v>3.2786885245901636</v>
      </c>
      <c r="F16" s="76"/>
      <c r="G16" s="68"/>
    </row>
    <row r="17" spans="2:7">
      <c r="E17" s="75"/>
      <c r="F17" s="74"/>
    </row>
    <row r="19" spans="2:7">
      <c r="B19" s="71" t="s">
        <v>79</v>
      </c>
      <c r="C19" s="70"/>
      <c r="D19" s="70"/>
      <c r="E19" s="70"/>
      <c r="F19" s="70"/>
    </row>
    <row r="20" spans="2:7">
      <c r="B20" s="70"/>
      <c r="C20" s="70">
        <v>1</v>
      </c>
      <c r="D20" s="70">
        <v>2</v>
      </c>
      <c r="E20" s="70">
        <v>3</v>
      </c>
      <c r="F20" s="73">
        <v>4</v>
      </c>
    </row>
    <row r="21" spans="2:7">
      <c r="B21" s="72" t="s">
        <v>78</v>
      </c>
      <c r="C21" s="69">
        <f>E14</f>
        <v>5.2183487579025363E-2</v>
      </c>
      <c r="D21" s="70"/>
      <c r="E21" s="70"/>
      <c r="F21" s="69"/>
      <c r="G21" s="68"/>
    </row>
    <row r="22" spans="2:7">
      <c r="B22" s="71" t="s">
        <v>92</v>
      </c>
      <c r="C22" s="70"/>
      <c r="D22" s="69">
        <f>D15-E14</f>
        <v>8.5066512420974655E-2</v>
      </c>
      <c r="E22" s="70"/>
      <c r="F22" s="69"/>
      <c r="G22" s="68"/>
    </row>
    <row r="23" spans="2:7">
      <c r="B23" s="71" t="s">
        <v>93</v>
      </c>
      <c r="C23" s="70"/>
      <c r="D23" s="70"/>
      <c r="E23" s="69">
        <f>E15-D15</f>
        <v>0.84635655737704918</v>
      </c>
      <c r="F23" s="69"/>
      <c r="G23" s="68"/>
    </row>
    <row r="24" spans="2:7">
      <c r="B24" s="71" t="s">
        <v>76</v>
      </c>
      <c r="C24" s="70"/>
      <c r="D24" s="70"/>
      <c r="E24" s="70"/>
      <c r="F24" s="69">
        <f>E16-E15</f>
        <v>2.2950819672131146</v>
      </c>
      <c r="G24" s="68"/>
    </row>
    <row r="26" spans="2:7">
      <c r="E26" s="68"/>
      <c r="F26" s="68"/>
    </row>
  </sheetData>
  <mergeCells count="1">
    <mergeCell ref="C12:E12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C2:F6"/>
  <sheetViews>
    <sheetView zoomScale="170" zoomScaleNormal="170" workbookViewId="0">
      <selection activeCell="E4" sqref="E4"/>
    </sheetView>
  </sheetViews>
  <sheetFormatPr defaultRowHeight="18.75"/>
  <cols>
    <col min="3" max="3" width="8" style="134" customWidth="1"/>
    <col min="4" max="4" width="14.42578125" style="134" bestFit="1" customWidth="1"/>
    <col min="5" max="5" width="10.7109375" style="134" bestFit="1" customWidth="1"/>
    <col min="6" max="6" width="8" style="134" customWidth="1"/>
  </cols>
  <sheetData>
    <row r="2" spans="3:6" ht="19.5" thickBot="1"/>
    <row r="3" spans="3:6" ht="19.5" thickBot="1">
      <c r="C3" s="222" t="s">
        <v>50</v>
      </c>
      <c r="D3" s="223"/>
      <c r="E3" s="223"/>
      <c r="F3" s="224"/>
    </row>
    <row r="4" spans="3:6">
      <c r="C4" s="225" t="s">
        <v>51</v>
      </c>
      <c r="D4" s="135" t="s">
        <v>44</v>
      </c>
      <c r="E4" s="136">
        <v>1</v>
      </c>
      <c r="F4" s="137" t="s">
        <v>51</v>
      </c>
    </row>
    <row r="5" spans="3:6">
      <c r="C5" s="225"/>
      <c r="D5" s="135" t="s">
        <v>46</v>
      </c>
      <c r="E5" s="138">
        <f>10*LOG10(1-E6)</f>
        <v>0</v>
      </c>
      <c r="F5" s="139" t="s">
        <v>25</v>
      </c>
    </row>
    <row r="6" spans="3:6" ht="19.5" thickBot="1">
      <c r="C6" s="226"/>
      <c r="D6" s="140" t="s">
        <v>46</v>
      </c>
      <c r="E6" s="141">
        <f>POWER((E4-1)/(E4+1),2)</f>
        <v>0</v>
      </c>
      <c r="F6" s="142" t="s">
        <v>49</v>
      </c>
    </row>
  </sheetData>
  <sheetProtection password="CC57" sheet="1" objects="1" scenarios="1"/>
  <mergeCells count="2">
    <mergeCell ref="C3:F3"/>
    <mergeCell ref="C4:C6"/>
  </mergeCells>
  <pageMargins left="0.511811024" right="0.511811024" top="0.78740157499999996" bottom="0.78740157499999996" header="0.31496062000000002" footer="0.31496062000000002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dimension ref="B1:BE22"/>
  <sheetViews>
    <sheetView tabSelected="1" zoomScale="140" zoomScaleNormal="140" workbookViewId="0">
      <selection activeCell="F11" sqref="F11"/>
    </sheetView>
  </sheetViews>
  <sheetFormatPr defaultRowHeight="15"/>
  <cols>
    <col min="1" max="1" width="2.7109375" customWidth="1"/>
    <col min="2" max="2" width="38.85546875" customWidth="1"/>
    <col min="3" max="4" width="4.85546875" customWidth="1"/>
    <col min="6" max="6" width="17" bestFit="1" customWidth="1"/>
    <col min="7" max="7" width="9" bestFit="1" customWidth="1"/>
    <col min="8" max="8" width="3.42578125" style="144" customWidth="1"/>
    <col min="9" max="9" width="7.5703125" customWidth="1"/>
    <col min="12" max="17" width="9.140625" hidden="1" customWidth="1"/>
  </cols>
  <sheetData>
    <row r="1" spans="2:57" ht="15.75" thickBot="1"/>
    <row r="2" spans="2:57">
      <c r="E2" s="227" t="s">
        <v>131</v>
      </c>
      <c r="F2" s="228"/>
    </row>
    <row r="3" spans="2:57">
      <c r="E3" s="229"/>
      <c r="F3" s="230"/>
    </row>
    <row r="4" spans="2:57" ht="15.75" thickBot="1">
      <c r="E4" s="231"/>
      <c r="F4" s="232"/>
    </row>
    <row r="5" spans="2:57" ht="15.75" thickBot="1">
      <c r="E5" s="159"/>
      <c r="F5" s="159"/>
      <c r="H5" s="144" t="s">
        <v>130</v>
      </c>
    </row>
    <row r="6" spans="2:57" ht="15.75" thickBot="1">
      <c r="F6" t="s">
        <v>129</v>
      </c>
      <c r="G6" s="158">
        <f>M6/10</f>
        <v>10</v>
      </c>
      <c r="H6" s="155">
        <v>56</v>
      </c>
      <c r="I6" s="111" t="s">
        <v>2</v>
      </c>
      <c r="M6" s="157">
        <v>100</v>
      </c>
      <c r="BE6" s="156">
        <v>56</v>
      </c>
    </row>
    <row r="7" spans="2:57">
      <c r="B7" s="233" t="s">
        <v>128</v>
      </c>
      <c r="G7" s="111"/>
      <c r="H7" s="155"/>
    </row>
    <row r="8" spans="2:57" ht="15.75" thickBot="1">
      <c r="B8" s="234"/>
      <c r="F8" s="72" t="s">
        <v>127</v>
      </c>
      <c r="G8" s="72" t="s">
        <v>126</v>
      </c>
      <c r="H8" s="155"/>
      <c r="I8" s="154"/>
    </row>
    <row r="9" spans="2:57">
      <c r="B9" s="234"/>
      <c r="C9" s="152"/>
      <c r="E9" s="236" t="s">
        <v>125</v>
      </c>
      <c r="F9" s="151" t="s">
        <v>124</v>
      </c>
      <c r="G9" s="150">
        <f>POWER(10,(-(-31.67-20*LOG(G$6,10))-1-31.67)/20)</f>
        <v>8.9125093813374576</v>
      </c>
      <c r="H9" s="149"/>
      <c r="I9" s="148" t="s">
        <v>2</v>
      </c>
    </row>
    <row r="10" spans="2:57">
      <c r="B10" s="234"/>
      <c r="C10" s="152"/>
      <c r="E10" s="237"/>
      <c r="F10" s="151" t="s">
        <v>123</v>
      </c>
      <c r="G10" s="150">
        <f>POWER(10,(-(-31.67-20*LOG(G$6,10))-2-31.67)/20)</f>
        <v>7.9432823472428176</v>
      </c>
      <c r="H10" s="149"/>
      <c r="I10" s="148" t="s">
        <v>2</v>
      </c>
    </row>
    <row r="11" spans="2:57" ht="15.75" thickBot="1">
      <c r="B11" s="235"/>
      <c r="C11" s="152"/>
      <c r="E11" s="238"/>
      <c r="F11" s="151" t="s">
        <v>122</v>
      </c>
      <c r="G11" s="150">
        <f>POWER(10,(-(-31.67-20*LOG(G$6,10))-3-31.67)/20)</f>
        <v>7.0794578438413795</v>
      </c>
      <c r="H11" s="149"/>
      <c r="I11" s="148" t="s">
        <v>2</v>
      </c>
    </row>
    <row r="12" spans="2:57">
      <c r="B12" s="152"/>
      <c r="C12" s="152"/>
      <c r="E12" s="239" t="s">
        <v>121</v>
      </c>
      <c r="F12" s="151" t="s">
        <v>120</v>
      </c>
      <c r="G12" s="150">
        <f>POWER(10,(-(-31.67-20*LOG(G$6,10))-4-31.67)/20)</f>
        <v>6.3095734448019343</v>
      </c>
      <c r="H12" s="149"/>
      <c r="I12" s="148" t="s">
        <v>2</v>
      </c>
    </row>
    <row r="13" spans="2:57">
      <c r="B13" s="152"/>
      <c r="C13" s="152"/>
      <c r="E13" s="240"/>
      <c r="F13" s="151" t="s">
        <v>119</v>
      </c>
      <c r="G13" s="150">
        <f>POWER(10,(-(-31.67-20*LOG(G$6,10))-5-31.67)/20)</f>
        <v>5.6234132519034921</v>
      </c>
      <c r="H13" s="149"/>
      <c r="I13" s="148" t="s">
        <v>2</v>
      </c>
    </row>
    <row r="14" spans="2:57" ht="15.75" thickBot="1">
      <c r="C14" s="152"/>
      <c r="E14" s="241"/>
      <c r="F14" s="151" t="s">
        <v>118</v>
      </c>
      <c r="G14" s="150">
        <f>POWER(10,(-(-31.67-20*LOG(G$6,10))-6-31.67)/20)</f>
        <v>5.0118723362727229</v>
      </c>
      <c r="H14" s="149"/>
      <c r="I14" s="148" t="s">
        <v>2</v>
      </c>
    </row>
    <row r="15" spans="2:57">
      <c r="B15" s="152"/>
      <c r="C15" s="152"/>
      <c r="E15" s="242" t="s">
        <v>117</v>
      </c>
      <c r="F15" s="151" t="s">
        <v>116</v>
      </c>
      <c r="G15" s="150">
        <f>POWER(10,(-(-31.67-20*LOG(G$6,10))-7-31.67)/20)</f>
        <v>4.4668359215096318</v>
      </c>
      <c r="H15" s="149"/>
      <c r="I15" s="148" t="s">
        <v>2</v>
      </c>
    </row>
    <row r="16" spans="2:57" ht="15.75" thickBot="1">
      <c r="B16" s="152"/>
      <c r="C16" s="152"/>
      <c r="E16" s="243"/>
      <c r="F16" s="151" t="s">
        <v>115</v>
      </c>
      <c r="G16" s="150">
        <f>POWER(10,(-(-31.67-20*LOG(G$6,10))-8-31.67)/20)</f>
        <v>3.9810717055349727</v>
      </c>
      <c r="H16" s="149"/>
      <c r="I16" s="148" t="s">
        <v>2</v>
      </c>
    </row>
    <row r="17" spans="2:9" ht="15.75" thickBot="1">
      <c r="B17" s="153" t="s">
        <v>114</v>
      </c>
      <c r="C17" s="152"/>
      <c r="E17" s="244"/>
      <c r="F17" s="151" t="s">
        <v>113</v>
      </c>
      <c r="G17" s="150">
        <f>POWER(10,(-(-31.67-20*LOG(G$6,10))-9-31.67)/20)</f>
        <v>3.5481338923357555</v>
      </c>
      <c r="H17" s="149"/>
      <c r="I17" s="148" t="s">
        <v>2</v>
      </c>
    </row>
    <row r="18" spans="2:9" ht="15.75" thickBot="1">
      <c r="B18" s="147" t="s">
        <v>112</v>
      </c>
    </row>
    <row r="19" spans="2:9">
      <c r="B19" s="147" t="s">
        <v>111</v>
      </c>
      <c r="E19" s="227" t="s">
        <v>110</v>
      </c>
      <c r="F19" s="228"/>
    </row>
    <row r="20" spans="2:9" ht="15.75" customHeight="1" thickBot="1">
      <c r="B20" s="146" t="s">
        <v>109</v>
      </c>
      <c r="E20" s="229"/>
      <c r="F20" s="230"/>
    </row>
    <row r="21" spans="2:9" ht="15.75" thickBot="1">
      <c r="E21" s="231"/>
      <c r="F21" s="232"/>
    </row>
    <row r="22" spans="2:9">
      <c r="B22" s="145" t="s">
        <v>108</v>
      </c>
    </row>
  </sheetData>
  <sheetProtection password="CC57" sheet="1" objects="1" scenarios="1"/>
  <mergeCells count="6">
    <mergeCell ref="E2:F4"/>
    <mergeCell ref="E19:F21"/>
    <mergeCell ref="B7:B11"/>
    <mergeCell ref="E9:E11"/>
    <mergeCell ref="E12:E14"/>
    <mergeCell ref="E15:E17"/>
  </mergeCells>
  <pageMargins left="0.511811024" right="0.511811024" top="0.78740157499999996" bottom="0.78740157499999996" header="0.31496062000000002" footer="0.31496062000000002"/>
  <pageSetup orientation="portrait" horizontalDpi="1200" verticalDpi="1200" r:id="rId1"/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>
  <dimension ref="A1:H36"/>
  <sheetViews>
    <sheetView zoomScale="110" zoomScaleNormal="110" workbookViewId="0">
      <selection activeCell="B10" sqref="B10"/>
    </sheetView>
  </sheetViews>
  <sheetFormatPr defaultRowHeight="15"/>
  <cols>
    <col min="1" max="1" width="30.42578125" bestFit="1" customWidth="1"/>
    <col min="2" max="2" width="9.7109375" customWidth="1"/>
    <col min="3" max="3" width="5.7109375" style="111" customWidth="1"/>
  </cols>
  <sheetData>
    <row r="1" spans="1:3">
      <c r="A1" s="70" t="s">
        <v>132</v>
      </c>
      <c r="B1" s="160">
        <v>-25</v>
      </c>
      <c r="C1" s="111" t="s">
        <v>1</v>
      </c>
    </row>
    <row r="2" spans="1:3">
      <c r="A2" s="70" t="s">
        <v>133</v>
      </c>
      <c r="B2" s="160">
        <v>5</v>
      </c>
      <c r="C2" s="111" t="s">
        <v>19</v>
      </c>
    </row>
    <row r="3" spans="1:3">
      <c r="A3" s="73" t="s">
        <v>12</v>
      </c>
      <c r="B3" s="161">
        <f>SUM(B1:B2)</f>
        <v>-20</v>
      </c>
      <c r="C3" s="111" t="s">
        <v>1</v>
      </c>
    </row>
    <row r="4" spans="1:3">
      <c r="A4" s="70" t="s">
        <v>134</v>
      </c>
      <c r="B4" s="160">
        <v>1000</v>
      </c>
      <c r="C4" s="78" t="s">
        <v>2</v>
      </c>
    </row>
    <row r="5" spans="1:3">
      <c r="A5" s="70" t="s">
        <v>0</v>
      </c>
      <c r="B5" s="160">
        <v>915</v>
      </c>
      <c r="C5" s="111" t="s">
        <v>3</v>
      </c>
    </row>
    <row r="6" spans="1:3">
      <c r="A6" s="70" t="s">
        <v>135</v>
      </c>
      <c r="B6" s="162">
        <f>27.55-20*LOG(B5)-20*LOG(B4)</f>
        <v>-91.678421881328973</v>
      </c>
      <c r="C6" s="78" t="s">
        <v>1</v>
      </c>
    </row>
    <row r="7" spans="1:3">
      <c r="A7" s="73" t="s">
        <v>136</v>
      </c>
      <c r="B7" s="163">
        <f>B3+B6</f>
        <v>-111.67842188132897</v>
      </c>
      <c r="C7" s="78" t="s">
        <v>1</v>
      </c>
    </row>
    <row r="8" spans="1:3">
      <c r="A8" s="70" t="s">
        <v>137</v>
      </c>
      <c r="B8" s="160">
        <v>5</v>
      </c>
      <c r="C8" s="78" t="s">
        <v>19</v>
      </c>
    </row>
    <row r="9" spans="1:3">
      <c r="A9" s="73" t="s">
        <v>138</v>
      </c>
      <c r="B9" s="160">
        <v>-110</v>
      </c>
      <c r="C9" s="78" t="s">
        <v>1</v>
      </c>
    </row>
    <row r="10" spans="1:3">
      <c r="A10" s="73" t="s">
        <v>139</v>
      </c>
      <c r="B10" s="161">
        <f>B9-B8</f>
        <v>-115</v>
      </c>
      <c r="C10" s="78" t="s">
        <v>1</v>
      </c>
    </row>
    <row r="11" spans="1:3">
      <c r="A11" s="70" t="s">
        <v>140</v>
      </c>
      <c r="B11" s="164">
        <f>IF((B7-B10)&lt;0,"   * ERRO *",B7-B10)</f>
        <v>3.3215781186710274</v>
      </c>
      <c r="C11" s="111" t="s">
        <v>1</v>
      </c>
    </row>
    <row r="12" spans="1:3">
      <c r="A12" s="165" t="s">
        <v>8</v>
      </c>
      <c r="B12" s="165">
        <v>0</v>
      </c>
      <c r="C12" s="166"/>
    </row>
    <row r="13" spans="1:3" ht="15.75" thickBot="1">
      <c r="A13" s="167" t="s">
        <v>9</v>
      </c>
      <c r="B13" s="168">
        <f>B4*0.3</f>
        <v>300</v>
      </c>
      <c r="C13" s="166"/>
    </row>
    <row r="14" spans="1:3">
      <c r="A14" s="169" t="s">
        <v>141</v>
      </c>
      <c r="B14" s="170">
        <f>POWER(10,(27.55-(B10-B3))/20-LOG10(B5))</f>
        <v>1465.8141370550484</v>
      </c>
      <c r="C14" s="111" t="s">
        <v>2</v>
      </c>
    </row>
    <row r="16" spans="1:3">
      <c r="A16" s="245" t="str">
        <f>IF(B7&lt;B10, "*** FALHA *** LINK","LINK OK ")</f>
        <v xml:space="preserve">LINK OK </v>
      </c>
      <c r="B16" s="245"/>
      <c r="C16" s="245"/>
    </row>
    <row r="17" spans="1:8" ht="15.75" thickBot="1">
      <c r="A17" s="171" t="s">
        <v>142</v>
      </c>
    </row>
    <row r="18" spans="1:8" ht="15.75" thickBot="1">
      <c r="A18" s="144" t="s">
        <v>143</v>
      </c>
      <c r="B18" s="172"/>
    </row>
    <row r="19" spans="1:8" ht="15.75" thickBot="1">
      <c r="A19" s="173" t="s">
        <v>144</v>
      </c>
      <c r="B19" s="174"/>
      <c r="C19" s="175"/>
      <c r="D19" s="176"/>
      <c r="E19" s="176"/>
    </row>
    <row r="20" spans="1:8" s="179" customFormat="1">
      <c r="A20" s="177"/>
      <c r="B20" s="177"/>
      <c r="C20" s="178"/>
      <c r="D20" s="179" t="s">
        <v>23</v>
      </c>
      <c r="H20" s="179" t="s">
        <v>24</v>
      </c>
    </row>
    <row r="21" spans="1:8" s="179" customFormat="1">
      <c r="A21" s="179" t="s">
        <v>8</v>
      </c>
      <c r="B21" s="180">
        <f>B$4*1</f>
        <v>1000</v>
      </c>
      <c r="C21" s="178"/>
      <c r="D21" s="179">
        <v>-180</v>
      </c>
      <c r="F21" s="181"/>
      <c r="H21" s="179">
        <f t="shared" ref="H21:H31" si="0">B21</f>
        <v>1000</v>
      </c>
    </row>
    <row r="22" spans="1:8" s="179" customFormat="1">
      <c r="A22" s="179" t="s">
        <v>9</v>
      </c>
      <c r="B22" s="180">
        <f>B$4*0.9</f>
        <v>900</v>
      </c>
      <c r="C22" s="178"/>
      <c r="D22" s="179">
        <v>-180</v>
      </c>
      <c r="F22" s="181"/>
      <c r="H22" s="179">
        <f t="shared" si="0"/>
        <v>900</v>
      </c>
    </row>
    <row r="23" spans="1:8" s="179" customFormat="1">
      <c r="A23" s="179" t="s">
        <v>9</v>
      </c>
      <c r="B23" s="180">
        <f>B$4*0.8</f>
        <v>800</v>
      </c>
      <c r="C23" s="178"/>
      <c r="D23" s="179">
        <v>-180</v>
      </c>
      <c r="F23" s="181"/>
      <c r="H23" s="179">
        <f t="shared" si="0"/>
        <v>800</v>
      </c>
    </row>
    <row r="24" spans="1:8" s="179" customFormat="1">
      <c r="A24" s="179" t="s">
        <v>9</v>
      </c>
      <c r="B24" s="180">
        <f>B$4*0.7</f>
        <v>700</v>
      </c>
      <c r="C24" s="178"/>
      <c r="D24" s="179">
        <v>-180</v>
      </c>
      <c r="F24" s="181"/>
      <c r="H24" s="179">
        <f t="shared" si="0"/>
        <v>700</v>
      </c>
    </row>
    <row r="25" spans="1:8" s="179" customFormat="1">
      <c r="A25" s="179" t="s">
        <v>9</v>
      </c>
      <c r="B25" s="180">
        <f>B$4*0.6</f>
        <v>600</v>
      </c>
      <c r="C25" s="178"/>
      <c r="D25" s="179">
        <v>-180</v>
      </c>
      <c r="F25" s="181"/>
      <c r="H25" s="179">
        <f t="shared" si="0"/>
        <v>600</v>
      </c>
    </row>
    <row r="26" spans="1:8" s="179" customFormat="1">
      <c r="A26" s="179" t="s">
        <v>9</v>
      </c>
      <c r="B26" s="180">
        <f>B$4*0.5</f>
        <v>500</v>
      </c>
      <c r="C26" s="178"/>
      <c r="D26" s="179">
        <v>-180</v>
      </c>
      <c r="F26" s="181"/>
      <c r="H26" s="179">
        <f t="shared" si="0"/>
        <v>500</v>
      </c>
    </row>
    <row r="27" spans="1:8" s="179" customFormat="1">
      <c r="A27" s="179" t="s">
        <v>9</v>
      </c>
      <c r="B27" s="180">
        <f>B$4*0.4</f>
        <v>400</v>
      </c>
      <c r="C27" s="178"/>
      <c r="D27" s="179">
        <v>-180</v>
      </c>
      <c r="F27" s="181"/>
      <c r="H27" s="179">
        <f t="shared" si="0"/>
        <v>400</v>
      </c>
    </row>
    <row r="28" spans="1:8" s="179" customFormat="1">
      <c r="A28" s="179" t="s">
        <v>9</v>
      </c>
      <c r="B28" s="180">
        <f>B$4*0.3</f>
        <v>300</v>
      </c>
      <c r="C28" s="178"/>
      <c r="D28" s="179">
        <v>-180</v>
      </c>
      <c r="F28" s="181"/>
      <c r="H28" s="179">
        <f t="shared" si="0"/>
        <v>300</v>
      </c>
    </row>
    <row r="29" spans="1:8" s="179" customFormat="1">
      <c r="A29" s="179" t="s">
        <v>9</v>
      </c>
      <c r="B29" s="180">
        <f>B$4*0.2</f>
        <v>200</v>
      </c>
      <c r="C29" s="178"/>
      <c r="D29" s="179">
        <v>-180</v>
      </c>
      <c r="F29" s="181"/>
      <c r="H29" s="179">
        <f t="shared" si="0"/>
        <v>200</v>
      </c>
    </row>
    <row r="30" spans="1:8" s="179" customFormat="1">
      <c r="A30" s="179" t="s">
        <v>9</v>
      </c>
      <c r="B30" s="180">
        <f>B$4*0.1</f>
        <v>100</v>
      </c>
      <c r="C30" s="178"/>
      <c r="D30" s="179">
        <v>-180</v>
      </c>
      <c r="F30" s="181"/>
      <c r="H30" s="179">
        <f t="shared" si="0"/>
        <v>100</v>
      </c>
    </row>
    <row r="31" spans="1:8" s="179" customFormat="1">
      <c r="A31" s="179" t="s">
        <v>9</v>
      </c>
      <c r="B31" s="180">
        <f>B$4*0</f>
        <v>0</v>
      </c>
      <c r="C31" s="178"/>
      <c r="D31" s="179">
        <v>-180</v>
      </c>
      <c r="F31" s="181"/>
      <c r="H31" s="179">
        <f t="shared" si="0"/>
        <v>0</v>
      </c>
    </row>
    <row r="32" spans="1:8">
      <c r="A32" s="176"/>
      <c r="B32" s="176"/>
      <c r="C32" s="175"/>
      <c r="D32" s="176"/>
      <c r="E32" s="176"/>
    </row>
    <row r="33" spans="1:5">
      <c r="A33" s="176"/>
      <c r="B33" s="182"/>
      <c r="C33" s="175"/>
      <c r="D33" s="176"/>
      <c r="E33" s="176"/>
    </row>
    <row r="34" spans="1:5">
      <c r="A34" s="176" t="str">
        <f>IF((B7-B10)&lt;0,"Margem Nagativa - ERRO", "Margem Link Direto")</f>
        <v>Margem Link Direto</v>
      </c>
      <c r="B34" s="182">
        <f>(B7+B10)/2</f>
        <v>-113.33921094066449</v>
      </c>
      <c r="C34" s="175"/>
      <c r="D34" s="176"/>
      <c r="E34" s="176"/>
    </row>
    <row r="35" spans="1:5">
      <c r="A35" s="183"/>
      <c r="B35" s="183"/>
    </row>
    <row r="36" spans="1:5">
      <c r="A36" s="183"/>
      <c r="B36" s="183"/>
    </row>
  </sheetData>
  <mergeCells count="1">
    <mergeCell ref="A16:C16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7</vt:i4>
      </vt:variant>
    </vt:vector>
  </HeadingPairs>
  <TitlesOfParts>
    <vt:vector size="7" baseType="lpstr">
      <vt:lpstr>Cálculo dos Links</vt:lpstr>
      <vt:lpstr>dB</vt:lpstr>
      <vt:lpstr>RISCOS</vt:lpstr>
      <vt:lpstr>Field Calculation II</vt:lpstr>
      <vt:lpstr>TOE</vt:lpstr>
      <vt:lpstr>Margem do Link Direto</vt:lpstr>
      <vt:lpstr>Beacon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Carbon X1</dc:creator>
  <cp:lastModifiedBy>Michel</cp:lastModifiedBy>
  <dcterms:created xsi:type="dcterms:W3CDTF">2019-04-24T13:57:45Z</dcterms:created>
  <dcterms:modified xsi:type="dcterms:W3CDTF">2026-04-21T21:45:36Z</dcterms:modified>
</cp:coreProperties>
</file>